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X:\_Extern\TEC\Compliance\Richtlinien\RMI\"/>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E4" i="8"/>
  <c r="C12" i="5"/>
  <c r="B12" i="5"/>
  <c r="AB12" i="5"/>
  <c r="V12" i="5"/>
  <c r="E12" i="5"/>
  <c r="X12" i="5"/>
  <c r="J12" i="5"/>
  <c r="S12" i="5"/>
  <c r="T12" i="5"/>
  <c r="R12" i="5"/>
  <c r="I12" i="5"/>
  <c r="H12" i="5"/>
  <c r="G12" i="5"/>
  <c r="F12" i="5"/>
  <c r="C11" i="5"/>
  <c r="B11" i="5"/>
  <c r="AB11" i="5"/>
  <c r="V11" i="5"/>
  <c r="E11" i="5"/>
  <c r="X11" i="5"/>
  <c r="J11" i="5"/>
  <c r="S11" i="5"/>
  <c r="T11" i="5"/>
  <c r="R11" i="5"/>
  <c r="I11" i="5"/>
  <c r="H11" i="5"/>
  <c r="G11" i="5"/>
  <c r="F11" i="5"/>
  <c r="C10" i="5"/>
  <c r="B10" i="5"/>
  <c r="AB10" i="5"/>
  <c r="V10" i="5"/>
  <c r="E10" i="5"/>
  <c r="X10" i="5"/>
  <c r="J10" i="5"/>
  <c r="S10" i="5"/>
  <c r="T10" i="5"/>
  <c r="R10" i="5"/>
  <c r="I10" i="5"/>
  <c r="H10" i="5"/>
  <c r="G10" i="5"/>
  <c r="F10" i="5"/>
  <c r="C9" i="5"/>
  <c r="B9" i="5"/>
  <c r="AB9" i="5"/>
  <c r="V9" i="5"/>
  <c r="E9" i="5"/>
  <c r="X9" i="5"/>
  <c r="J9" i="5"/>
  <c r="S9" i="5"/>
  <c r="T9" i="5"/>
  <c r="R9" i="5"/>
  <c r="I9" i="5"/>
  <c r="H9" i="5"/>
  <c r="G9" i="5"/>
  <c r="F9" i="5"/>
  <c r="C8" i="5"/>
  <c r="B8" i="5"/>
  <c r="AB8" i="5"/>
  <c r="V8" i="5"/>
  <c r="E8" i="5"/>
  <c r="X8" i="5"/>
  <c r="J8" i="5"/>
  <c r="S8" i="5"/>
  <c r="T8" i="5"/>
  <c r="R8" i="5"/>
  <c r="I8" i="5"/>
  <c r="H8" i="5"/>
  <c r="G8" i="5"/>
  <c r="F8" i="5"/>
  <c r="C7" i="5"/>
  <c r="B7" i="5"/>
  <c r="AB7" i="5"/>
  <c r="V7" i="5"/>
  <c r="E7" i="5"/>
  <c r="X7" i="5"/>
  <c r="J7" i="5"/>
  <c r="S7" i="5"/>
  <c r="T7" i="5"/>
  <c r="R7" i="5"/>
  <c r="I7" i="5"/>
  <c r="H7" i="5"/>
  <c r="G7" i="5"/>
  <c r="F7" i="5"/>
  <c r="C6" i="5"/>
  <c r="B6" i="5"/>
  <c r="AB6" i="5"/>
  <c r="V6" i="5"/>
  <c r="E6" i="5"/>
  <c r="X6" i="5"/>
  <c r="J6" i="5"/>
  <c r="S6" i="5"/>
  <c r="T6" i="5"/>
  <c r="R6" i="5"/>
  <c r="I6" i="5"/>
  <c r="H6" i="5"/>
  <c r="G6" i="5"/>
  <c r="F6" i="5"/>
  <c r="C5" i="5"/>
  <c r="B5" i="5"/>
  <c r="AB5" i="5"/>
  <c r="V5" i="5"/>
  <c r="E5" i="5"/>
  <c r="X5" i="5"/>
  <c r="J5" i="5"/>
  <c r="S5" i="5"/>
  <c r="T5" i="5"/>
  <c r="R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6" i="4"/>
  <c r="S45" i="4"/>
  <c r="S44" i="4"/>
  <c r="T45" i="4"/>
  <c r="T44" i="4"/>
  <c r="S43" i="4"/>
  <c r="S42" i="4"/>
  <c r="T43" i="4"/>
  <c r="U44" i="4"/>
  <c r="U43" i="4"/>
  <c r="T42" i="4"/>
  <c r="U42" i="4"/>
  <c r="V43" i="4"/>
  <c r="V42" i="4"/>
  <c r="W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V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F119" i="6"/>
  <c r="A119" i="6"/>
  <c r="G119" i="6"/>
  <c r="H119" i="6"/>
  <c r="C119" i="6"/>
  <c r="D119" i="6"/>
  <c r="F22" i="6"/>
  <c r="H22" i="6"/>
  <c r="H125" i="6"/>
  <c r="D2" i="6"/>
  <c r="C22" i="6"/>
  <c r="D22" i="6"/>
  <c r="O35" i="4"/>
  <c r="P47" i="4"/>
  <c r="B47" i="4"/>
  <c r="A33" i="6"/>
  <c r="P59" i="4"/>
  <c r="B59" i="4"/>
  <c r="A44" i="6"/>
  <c r="B71" i="4"/>
  <c r="A55" i="6"/>
  <c r="B83" i="4"/>
  <c r="A66" i="6"/>
  <c r="B95" i="4"/>
  <c r="A77" i="6"/>
  <c r="B107" i="4"/>
  <c r="A88" i="6"/>
  <c r="B125" i="4"/>
  <c r="A103" i="6"/>
  <c r="S47" i="4"/>
  <c r="T47" i="4"/>
  <c r="U47" i="4"/>
  <c r="V47" i="4"/>
  <c r="W47" i="4"/>
  <c r="T46" i="4"/>
  <c r="U46" i="4"/>
  <c r="V46" i="4"/>
  <c r="W46" i="4"/>
  <c r="X46" i="4"/>
  <c r="U45" i="4"/>
  <c r="V45" i="4"/>
  <c r="W45" i="4"/>
  <c r="X45" i="4"/>
  <c r="Y45" i="4"/>
  <c r="V44" i="4"/>
  <c r="W44" i="4"/>
  <c r="X44" i="4"/>
  <c r="W43" i="4"/>
  <c r="X43" i="4"/>
  <c r="Y44" i="4"/>
  <c r="Z44" i="4"/>
  <c r="Y43" i="4"/>
  <c r="X42" i="4"/>
  <c r="Y42" i="4"/>
  <c r="Z43" i="4"/>
  <c r="AA43" i="4"/>
  <c r="Z42" i="4"/>
  <c r="AA42" i="4"/>
  <c r="AB42" i="4"/>
  <c r="AC42" i="4"/>
  <c r="X47" i="4"/>
  <c r="Y47" i="4"/>
  <c r="Y46" i="4"/>
  <c r="Z46" i="4"/>
  <c r="Z45" i="4"/>
  <c r="AA45" i="4"/>
  <c r="AA44" i="4"/>
  <c r="AB44" i="4"/>
  <c r="AB43" i="4"/>
  <c r="AC43" i="4"/>
  <c r="AC44" i="4"/>
  <c r="Z47" i="4"/>
  <c r="AA47" i="4"/>
  <c r="AA46" i="4"/>
  <c r="AB46" i="4"/>
  <c r="AB45" i="4"/>
  <c r="AC45" i="4"/>
  <c r="AC46" i="4"/>
  <c r="AB47" i="4"/>
  <c r="AC47" i="4"/>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<sst xmlns="http://schemas.openxmlformats.org/spreadsheetml/2006/main" count="28036" uniqueCount="20069">
  <si>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</si>
  <si>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</si>
  <si>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</si>
  <si>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</si>
  <si>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</si>
  <si>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</si>
  <si>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</si>
  <si>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</si>
  <si>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</si>
  <si>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</si>
  <si>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</si>
  <si>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</si>
  <si>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</si>
  <si>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</si>
  <si>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</si>
  <si>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</si>
  <si>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</si>
  <si>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</si>
  <si>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</si>
  <si>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</si>
  <si>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</si>
  <si>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</si>
  <si>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</si>
  <si>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</si>
  <si>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</si>
  <si>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</si>
  <si>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</si>
  <si>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</si>
  <si>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</si>
  <si>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</si>
  <si>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</si>
  <si>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</si>
  <si>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</si>
  <si>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</si>
  <si>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</si>
  <si>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</si>
  <si>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</si>
  <si>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</si>
  <si>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</si>
  <si>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</si>
  <si>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</si>
  <si>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</si>
  <si>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</si>
  <si>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</si>
  <si>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</si>
  <si>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</si>
  <si>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</si>
  <si>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</si>
  <si>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</si>
  <si>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</si>
  <si>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</si>
  <si>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</si>
  <si>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</si>
  <si>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</si>
  <si>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</si>
  <si>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</si>
  <si>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</si>
  <si>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</si>
  <si>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</si>
  <si>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</si>
  <si>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</si>
  <si>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</si>
  <si>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</si>
  <si>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</si>
  <si>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</si>
  <si>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</si>
  <si>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</si>
  <si>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</si>
  <si>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</si>
  <si>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</si>
  <si>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</si>
  <si>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</si>
  <si>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</si>
  <si>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</si>
  <si>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</si>
  <si>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</si>
  <si>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</si>
  <si>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</si>
  <si>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</si>
  <si>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</si>
  <si>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</si>
  <si>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</si>
  <si>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</si>
  <si>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</si>
  <si>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</si>
  <si>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</si>
  <si>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</si>
  <si>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</si>
  <si>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</si>
  <si>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</si>
  <si>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</si>
  <si>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</si>
  <si>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</si>
  <si>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</si>
  <si>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</si>
  <si>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</si>
  <si>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</si>
  <si>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</si>
  <si>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</si>
  <si>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</si>
  <si>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</si>
  <si>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</si>
  <si>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</si>
  <si>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</si>
  <si>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</si>
  <si>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</si>
  <si>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</si>
  <si>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</si>
  <si>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</si>
  <si>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</si>
  <si>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</si>
  <si>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</si>
  <si>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</si>
  <si>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</si>
  <si>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</si>
  <si>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</si>
  <si>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</si>
  <si>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</si>
  <si>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</si>
  <si>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</si>
  <si>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</si>
  <si>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</si>
  <si>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</si>
  <si>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</si>
  <si>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</si>
  <si>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</si>
  <si>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</si>
  <si>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</si>
  <si>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</si>
  <si>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</si>
  <si>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</si>
  <si>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</si>
  <si>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</si>
  <si>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</si>
  <si>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</si>
  <si>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</si>
  <si>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</si>
  <si>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</si>
  <si>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</si>
  <si>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</si>
  <si>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</si>
  <si>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</si>
  <si>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</si>
  <si>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</si>
  <si>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</si>
  <si>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</si>
  <si>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</si>
  <si>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</si>
  <si>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</si>
  <si>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</si>
  <si>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</si>
  <si>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</si>
  <si>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</si>
  <si>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</si>
  <si>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</si>
  <si>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</si>
  <si>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</si>
  <si>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</si>
  <si>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</si>
  <si>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</si>
  <si>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</si>
  <si>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</si>
  <si>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</si>
  <si>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</si>
  <si>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</si>
  <si>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</si>
  <si>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</si>
  <si>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</si>
  <si>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</si>
  <si>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</si>
  <si>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</si>
  <si>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</si>
  <si>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</si>
  <si>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</si>
  <si>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</si>
  <si>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</si>
  <si>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</si>
  <si>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</si>
  <si>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</si>
  <si>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</si>
  <si>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</si>
  <si>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</si>
  <si>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</si>
  <si>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</si>
  <si>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</si>
  <si>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</si>
  <si>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</si>
  <si>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</si>
  <si>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</si>
  <si>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</si>
  <si>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</si>
  <si>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</si>
  <si>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</si>
  <si>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</si>
  <si>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</si>
  <si>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</si>
  <si>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</si>
  <si>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</si>
  <si>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</si>
  <si>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</si>
  <si>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</si>
  <si>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</si>
  <si>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</si>
  <si>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</si>
  <si>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</si>
  <si>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</si>
  <si>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</si>
  <si>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</si>
  <si>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</si>
  <si>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</si>
  <si>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</si>
  <si>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</si>
  <si>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</si>
  <si>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</si>
  <si>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</si>
  <si>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</si>
  <si>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</si>
  <si>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</si>
  <si>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</si>
  <si>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</si>
  <si>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</si>
  <si>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</si>
  <si>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</si>
  <si>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</si>
  <si>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</si>
  <si>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</si>
  <si>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</si>
  <si>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</si>
  <si>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</si>
  <si>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</si>
  <si>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</si>
  <si>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</si>
  <si>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</si>
  <si>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</si>
  <si>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</si>
  <si>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</si>
  <si>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</si>
  <si>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</si>
  <si>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</si>
  <si>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</si>
  <si>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</si>
  <si>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</si>
  <si>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</si>
  <si>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</si>
  <si>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</si>
  <si>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</si>
  <si>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</si>
  <si>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</si>
  <si>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</si>
  <si>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</si>
  <si>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</si>
  <si>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</si>
  <si>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</si>
  <si>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</si>
  <si>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</si>
  <si>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</si>
  <si>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</si>
  <si>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</si>
  <si>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</si>
  <si>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</si>
  <si>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</si>
  <si>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</si>
  <si>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</si>
  <si>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</si>
  <si>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</si>
  <si>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</si>
  <si>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</si>
  <si>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</si>
  <si>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</si>
  <si>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</si>
  <si>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</si>
  <si>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</si>
  <si>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</si>
  <si>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</si>
  <si>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</si>
  <si>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</si>
  <si>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</si>
  <si>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</si>
  <si>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</si>
  <si>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</si>
  <si>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</si>
  <si>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</si>
  <si>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</si>
  <si>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</si>
  <si>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</si>
  <si>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</si>
  <si>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</si>
  <si>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</si>
  <si>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</si>
  <si>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</si>
  <si>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</si>
  <si>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</si>
  <si>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</si>
  <si>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</si>
  <si>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</si>
  <si>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</si>
  <si>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</si>
  <si>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</si>
  <si>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</si>
  <si>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</si>
  <si>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</si>
  <si>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</si>
  <si>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</si>
  <si>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</si>
  <si>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</si>
  <si>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</si>
  <si>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</si>
  <si>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</si>
  <si>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</si>
  <si>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</si>
  <si>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</si>
  <si>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</si>
  <si>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</si>
  <si>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</si>
  <si>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</si>
  <si>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</si>
  <si>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</si>
  <si>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</si>
  <si>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</si>
  <si>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</si>
  <si>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</si>
  <si>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</si>
  <si>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</si>
  <si>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</si>
  <si>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</si>
  <si>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</si>
  <si>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</si>
  <si>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</si>
  <si>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</si>
  <si>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</si>
  <si>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</si>
  <si>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</si>
  <si>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</si>
  <si>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</si>
  <si>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</si>
  <si>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</si>
  <si>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</si>
  <si>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</si>
  <si>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</si>
  <si>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</si>
  <si>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</si>
  <si>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</si>
  <si>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</si>
  <si>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</si>
  <si>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</si>
  <si>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</si>
  <si>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</si>
  <si>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</si>
  <si>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</si>
  <si>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</si>
  <si>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</si>
  <si>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</si>
  <si>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</si>
  <si>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</si>
  <si>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</si>
  <si>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</si>
  <si>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</si>
  <si>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</si>
  <si>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</si>
  <si>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</si>
  <si>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</si>
  <si>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</si>
  <si>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</si>
  <si>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</si>
  <si>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</si>
  <si>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</si>
  <si>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</si>
  <si>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</si>
  <si>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</si>
  <si>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</si>
  <si>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</si>
  <si>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</si>
  <si>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</si>
  <si>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</si>
  <si>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</si>
  <si>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</si>
  <si>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</si>
  <si>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</si>
  <si>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</si>
  <si>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</si>
  <si>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</si>
  <si>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</si>
  <si>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</si>
  <si>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</si>
  <si>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</si>
  <si>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</si>
  <si>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</si>
  <si>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</si>
  <si>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</si>
  <si>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</si>
  <si>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</si>
  <si>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</si>
  <si>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</si>
  <si>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</si>
  <si>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</si>
  <si>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</si>
  <si>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</si>
  <si>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</si>
  <si>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</si>
  <si>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</si>
  <si>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</si>
  <si>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</si>
  <si>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</si>
  <si>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</si>
  <si>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</si>
  <si>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</si>
  <si>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</si>
  <si>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</si>
  <si>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</si>
  <si>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</si>
  <si>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</si>
  <si>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</si>
  <si>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</si>
  <si>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</si>
  <si>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</si>
  <si>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</si>
  <si>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</si>
  <si>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</si>
  <si>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</si>
  <si>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</si>
  <si>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</si>
  <si>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</si>
  <si>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</si>
  <si>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</si>
  <si>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</si>
  <si>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</si>
  <si>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</si>
  <si>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</si>
  <si>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</si>
  <si>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</si>
  <si>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</si>
  <si>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</si>
  <si>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</si>
  <si>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</si>
  <si>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</si>
  <si>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</si>
  <si>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</si>
  <si>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</si>
  <si>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</si>
  <si>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</si>
  <si>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</si>
  <si>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</si>
  <si>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</si>
  <si>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</si>
  <si>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</si>
  <si>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</si>
  <si>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</si>
  <si>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</si>
  <si>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</si>
  <si>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</si>
  <si>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</si>
  <si>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</si>
  <si>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</si>
  <si>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</si>
  <si>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</si>
  <si>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</si>
  <si>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</si>
  <si>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</si>
  <si>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</si>
  <si>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</si>
  <si>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</si>
  <si>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</si>
  <si>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</si>
  <si>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</si>
  <si>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</si>
  <si>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</si>
  <si>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</si>
  <si>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</si>
  <si>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</si>
  <si>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</si>
  <si>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</si>
  <si>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</si>
  <si>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</si>
  <si>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</si>
  <si>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</si>
  <si>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</si>
  <si>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</si>
  <si>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</si>
  <si>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</si>
  <si>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</si>
  <si>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</si>
  <si>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</si>
  <si>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</si>
  <si>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</si>
  <si>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</si>
  <si>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</si>
  <si>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</si>
  <si>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</si>
  <si>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</si>
  <si>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</si>
  <si>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</si>
  <si>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</si>
  <si>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</si>
  <si>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</si>
  <si>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</si>
  <si>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</si>
  <si>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</si>
  <si>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</si>
  <si>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</si>
  <si>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</si>
  <si>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</si>
  <si>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</si>
  <si>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</si>
  <si>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</si>
  <si>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</si>
  <si>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</si>
  <si>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</si>
  <si>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</si>
  <si>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</si>
  <si>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</si>
  <si>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</si>
  <si>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</si>
  <si>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</si>
  <si>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</si>
  <si>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</si>
  <si>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</si>
  <si>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</si>
  <si>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</si>
  <si>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</si>
  <si>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</si>
  <si>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</si>
  <si>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</si>
  <si>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</si>
  <si>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</si>
  <si>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</si>
  <si>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</si>
  <si>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</si>
  <si>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</si>
  <si>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</si>
  <si>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</si>
  <si>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</si>
  <si>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</si>
  <si>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</si>
  <si>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</si>
  <si>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</si>
  <si>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</si>
  <si>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</si>
  <si>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</si>
  <si>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</si>
  <si>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</si>
  <si>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</si>
  <si>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</si>
  <si>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</si>
  <si>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</si>
  <si>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</si>
  <si>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</si>
  <si>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</si>
  <si>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</si>
  <si>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</si>
  <si>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</si>
  <si>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</si>
  <si>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</si>
  <si>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</si>
  <si>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</si>
  <si>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</si>
  <si>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</si>
  <si>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</si>
  <si>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</si>
  <si>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</si>
  <si>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</si>
  <si>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</si>
  <si>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</si>
  <si>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</si>
  <si>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</si>
  <si>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</si>
  <si>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</si>
  <si>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</si>
  <si>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</si>
  <si>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</si>
  <si>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</si>
  <si>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</si>
  <si>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</si>
  <si>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</si>
  <si>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</si>
  <si>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</si>
  <si>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</si>
  <si>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</si>
  <si>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</si>
  <si>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</si>
  <si>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</si>
  <si>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</si>
  <si>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</si>
  <si>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</si>
  <si>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</si>
  <si>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</si>
  <si>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</si>
  <si>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</si>
  <si>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</si>
  <si>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</si>
  <si>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</si>
  <si>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</si>
  <si>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</si>
  <si>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</si>
  <si>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</si>
  <si>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</si>
  <si>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</si>
  <si>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</si>
  <si>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</si>
  <si>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</si>
  <si>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</si>
  <si>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</si>
  <si>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</si>
  <si>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</si>
  <si>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</si>
  <si>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</si>
  <si>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</si>
  <si>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</si>
  <si>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</si>
  <si>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</si>
  <si>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</si>
  <si>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</si>
  <si>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</si>
  <si>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</si>
  <si>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</si>
  <si>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</si>
  <si>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</si>
  <si>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</si>
  <si>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</si>
  <si>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</si>
  <si>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</si>
  <si>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</si>
  <si>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</si>
  <si>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</si>
  <si>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</si>
  <si>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</si>
  <si>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</si>
  <si>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</si>
  <si>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</si>
  <si>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</si>
  <si>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</si>
  <si>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</si>
  <si>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</si>
  <si>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</si>
  <si>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</si>
  <si>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</si>
  <si>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</si>
  <si>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</si>
  <si>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</si>
  <si>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</si>
  <si>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</si>
  <si>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</si>
  <si>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</si>
  <si>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</si>
  <si>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</si>
  <si>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</si>
  <si>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</si>
  <si>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</si>
  <si>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</si>
  <si>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</si>
  <si>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</si>
  <si>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</si>
  <si>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</si>
  <si>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</si>
  <si>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</si>
  <si>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</si>
  <si>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</si>
  <si>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</si>
  <si>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</si>
  <si>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</si>
  <si>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</si>
  <si>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</si>
  <si>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</si>
  <si>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</si>
  <si>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</si>
  <si>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</si>
  <si>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</si>
  <si>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</si>
  <si>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</si>
  <si>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</si>
  <si>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</si>
  <si>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</si>
  <si>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</si>
  <si>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</si>
  <si>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</si>
  <si>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</si>
  <si>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</si>
  <si>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</si>
  <si>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</si>
  <si>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</si>
  <si>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</si>
  <si>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</si>
  <si>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</si>
  <si>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</si>
  <si>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</si>
  <si>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</si>
  <si>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</si>
  <si>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</si>
  <si>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</si>
  <si>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</si>
  <si>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</si>
  <si>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</si>
  <si>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</si>
  <si>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</si>
  <si>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</si>
  <si>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</si>
  <si>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</si>
  <si>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</si>
  <si>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</si>
  <si>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</si>
  <si>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</si>
  <si>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</si>
  <si>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</si>
  <si>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</si>
  <si>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</si>
  <si>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</si>
  <si>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</si>
  <si>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</si>
  <si>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</si>
  <si>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</si>
  <si>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</si>
  <si>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</si>
  <si>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</si>
  <si>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</si>
  <si>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</si>
  <si>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</si>
  <si>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</si>
  <si>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</si>
  <si>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</si>
  <si>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</si>
  <si>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</si>
  <si>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</si>
  <si>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</si>
  <si>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</si>
  <si>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</si>
  <si>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</si>
  <si>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</si>
  <si>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</si>
  <si>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</si>
  <si>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</si>
  <si>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</si>
  <si>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</si>
  <si>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</si>
  <si>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</si>
  <si>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</si>
  <si>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</si>
  <si>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</si>
  <si>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</si>
  <si>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</si>
  <si>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</si>
  <si>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</si>
  <si>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</si>
  <si>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</si>
  <si>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</si>
  <si>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</si>
  <si>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</si>
  <si>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</si>
  <si>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</si>
  <si>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</si>
  <si>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</si>
  <si>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</si>
  <si>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</si>
  <si>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</si>
  <si>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</si>
  <si>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</si>
  <si>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</si>
  <si>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</si>
  <si>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</si>
  <si>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</si>
  <si>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</si>
  <si>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</si>
  <si>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</si>
  <si>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</si>
  <si>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</si>
  <si>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</si>
  <si>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</si>
  <si>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</si>
  <si>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</si>
  <si>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</si>
  <si>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</si>
  <si>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</si>
  <si>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</si>
  <si>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</si>
  <si>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</si>
  <si>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</si>
  <si>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</si>
  <si>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</si>
  <si>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</si>
  <si>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</si>
  <si>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</si>
  <si>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</si>
  <si>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</si>
  <si>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</si>
  <si>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</si>
  <si>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</si>
  <si>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</si>
  <si>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</si>
  <si>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</si>
  <si>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</si>
  <si>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</si>
  <si>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</si>
  <si>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</si>
  <si>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</si>
  <si>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</si>
  <si>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</si>
  <si>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</si>
  <si>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</si>
  <si>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</si>
  <si>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</si>
  <si>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</si>
  <si>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</si>
  <si>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</si>
  <si>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</si>
  <si>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</si>
  <si>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</si>
  <si>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</si>
  <si>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</si>
  <si>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</si>
  <si>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</si>
  <si>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</si>
  <si>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</si>
  <si>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</si>
  <si>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</si>
  <si>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</si>
  <si>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</si>
  <si>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</si>
  <si>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</si>
  <si>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</si>
  <si>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</si>
  <si>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</si>
  <si>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</si>
  <si>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</si>
  <si>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</si>
  <si>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</si>
  <si>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</si>
  <si>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</si>
  <si>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</si>
  <si>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</si>
  <si>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</si>
  <si>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</si>
  <si>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</si>
  <si>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</si>
  <si>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</si>
  <si>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</si>
  <si>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</si>
  <si>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</si>
  <si>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</si>
  <si>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</si>
  <si>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</si>
  <si>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</si>
  <si>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</si>
  <si>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</si>
  <si>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</si>
  <si>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</si>
  <si>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</si>
  <si>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</si>
  <si>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</si>
  <si>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</si>
  <si>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</si>
  <si>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</si>
  <si>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</si>
  <si>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</si>
  <si>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</si>
  <si>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</si>
  <si>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</si>
  <si>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</si>
  <si>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</si>
  <si>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</si>
  <si>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</si>
  <si>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</si>
  <si>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</si>
  <si>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</si>
  <si>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</si>
  <si>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</si>
  <si>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</si>
  <si>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</si>
  <si>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</si>
  <si>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</si>
  <si>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</si>
  <si>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</si>
  <si>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</si>
  <si>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</si>
  <si>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</si>
  <si>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</si>
  <si>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</si>
  <si>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</si>
  <si>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</si>
  <si>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</si>
  <si>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</si>
  <si>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</si>
  <si>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</si>
  <si>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</si>
  <si>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</si>
  <si>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</si>
  <si>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</si>
  <si>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</si>
  <si>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</si>
  <si>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</si>
  <si>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</si>
  <si>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</si>
  <si>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</si>
  <si>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</si>
  <si>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</si>
  <si>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</si>
  <si>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</si>
  <si>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</si>
  <si>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</si>
  <si>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</si>
  <si>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</si>
  <si>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</si>
  <si>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</si>
  <si>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</si>
  <si>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</si>
  <si>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</si>
  <si>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</si>
  <si>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</si>
  <si>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</si>
  <si>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</si>
  <si>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</si>
  <si>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</si>
  <si>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</si>
  <si>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</si>
  <si>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</si>
  <si>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</si>
  <si>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</si>
  <si>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</si>
  <si>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</si>
  <si>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</si>
  <si>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</si>
  <si>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</si>
  <si>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</si>
  <si>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</si>
  <si>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</si>
  <si>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</si>
  <si>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</si>
  <si>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</si>
  <si>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</si>
  <si>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</si>
  <si>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</si>
  <si>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</si>
  <si>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</si>
  <si>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</si>
  <si>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</si>
  <si>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</si>
  <si>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</si>
  <si>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</si>
  <si>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</si>
  <si>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</si>
  <si>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</si>
  <si>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</si>
  <si>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</si>
  <si>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</si>
  <si>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</si>
  <si>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</si>
  <si>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</si>
  <si>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</si>
  <si>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</si>
  <si>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</si>
  <si>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</si>
  <si>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</si>
  <si>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</si>
  <si>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</si>
  <si>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</si>
  <si>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</si>
  <si>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</si>
  <si>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</si>
  <si>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</si>
  <si>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</si>
  <si>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</si>
  <si>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</si>
  <si>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</si>
  <si>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</si>
  <si>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</si>
  <si>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</si>
  <si>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</si>
  <si>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</si>
  <si>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</si>
  <si>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</si>
  <si>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</si>
  <si>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</si>
  <si>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</si>
  <si>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</si>
  <si>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</si>
  <si>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</si>
  <si>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</si>
  <si>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</si>
  <si>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</si>
  <si>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</si>
  <si>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</si>
  <si>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</si>
  <si>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</si>
  <si>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</si>
  <si>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</si>
  <si>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</si>
  <si>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</si>
  <si>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</si>
  <si>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</si>
  <si>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</si>
  <si>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</si>
  <si>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</si>
  <si>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</si>
  <si>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</si>
  <si>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</si>
  <si>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</si>
  <si>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</si>
  <si>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</si>
  <si>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</si>
  <si>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</si>
  <si>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</si>
  <si>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</si>
  <si>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</si>
  <si>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</si>
  <si>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</si>
  <si>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</si>
  <si>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</si>
  <si>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</si>
  <si>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</si>
  <si>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</si>
  <si>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</si>
  <si>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</si>
  <si>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</si>
  <si>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</si>
  <si>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</si>
  <si>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</si>
  <si>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</si>
  <si>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</si>
  <si>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</si>
  <si>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</si>
  <si>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</si>
  <si>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</si>
  <si>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</si>
  <si>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</si>
  <si>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</si>
  <si>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</si>
  <si>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</si>
  <si>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</si>
  <si>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</si>
  <si>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</si>
  <si>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</si>
  <si>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</si>
  <si>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</si>
  <si>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</si>
  <si>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</si>
  <si>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</si>
  <si>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</si>
  <si>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</si>
  <si>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</si>
  <si>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</si>
  <si>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</si>
  <si>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</si>
  <si>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</si>
  <si>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</si>
  <si>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</si>
  <si>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</si>
  <si>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</si>
  <si>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</si>
  <si>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</si>
  <si>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</si>
  <si>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</si>
  <si>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</si>
  <si>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</si>
  <si>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</si>
  <si>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</si>
  <si>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</si>
  <si>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</si>
  <si>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</si>
  <si>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</si>
  <si>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</si>
  <si>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</si>
  <si>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</si>
  <si>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</si>
  <si>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</si>
  <si>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</si>
  <si>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</si>
  <si>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</si>
  <si>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</si>
  <si>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</si>
  <si>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</si>
  <si>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</si>
  <si>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</si>
  <si>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</si>
  <si>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</si>
  <si>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</si>
  <si>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</si>
  <si>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</si>
  <si>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</si>
  <si>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</si>
  <si>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</si>
  <si>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</si>
  <si>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</si>
  <si>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</si>
  <si>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</si>
  <si>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</si>
  <si>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</si>
  <si>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</si>
  <si>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</si>
  <si>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</si>
  <si>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</si>
  <si>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</si>
  <si>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</si>
  <si>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</si>
  <si>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</si>
  <si>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</si>
  <si>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</si>
  <si>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</si>
  <si>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</si>
  <si>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</si>
  <si>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</si>
  <si>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</si>
  <si>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</si>
  <si>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</si>
  <si>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</si>
  <si>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</si>
  <si>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</si>
  <si>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</si>
  <si>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</si>
  <si>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</si>
  <si>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</si>
  <si>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</si>
  <si>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</si>
  <si>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</si>
  <si>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</si>
  <si>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</si>
  <si>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</si>
  <si>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</si>
  <si>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</si>
  <si>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</si>
  <si>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</si>
  <si>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</si>
  <si>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</si>
  <si>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</si>
  <si>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</si>
  <si>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</si>
  <si>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</si>
  <si>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</si>
  <si>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</si>
  <si>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</si>
  <si>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</si>
  <si>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</si>
  <si>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</si>
  <si>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</si>
  <si>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</si>
  <si>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</si>
  <si>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</si>
  <si>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</si>
  <si>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</si>
  <si>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</si>
  <si>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</si>
  <si>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</si>
  <si>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</si>
  <si>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</si>
  <si>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</si>
  <si>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</si>
  <si>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</si>
  <si>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</si>
  <si>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</si>
  <si>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</si>
  <si>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</si>
  <si>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</si>
  <si>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</si>
  <si>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</si>
  <si>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</si>
  <si>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</si>
  <si>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</si>
  <si>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</si>
  <si>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</si>
  <si>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</si>
  <si>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</si>
  <si>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</si>
  <si>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</si>
  <si>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</si>
  <si>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</si>
  <si>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</si>
  <si>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</si>
  <si>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</si>
  <si>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</si>
  <si>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</si>
  <si>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</si>
  <si>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</si>
  <si>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</si>
  <si>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</si>
  <si>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</si>
  <si>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</si>
  <si>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</si>
  <si>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</si>
  <si>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</si>
  <si>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</si>
  <si>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</si>
  <si>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</si>
  <si>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</si>
  <si>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</si>
  <si>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</si>
  <si>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</si>
  <si>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</si>
  <si>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</si>
  <si>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</si>
  <si>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</si>
  <si>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</si>
  <si>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</si>
  <si>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</si>
  <si>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</si>
  <si>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</si>
  <si>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</si>
  <si>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</si>
  <si>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</si>
  <si>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</si>
  <si>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</si>
  <si>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</si>
  <si>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</si>
  <si>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</si>
  <si>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</si>
  <si>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</si>
  <si>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</si>
  <si>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</si>
  <si>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</si>
  <si>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</si>
  <si>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</si>
  <si>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</si>
  <si>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</si>
  <si>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</si>
  <si>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</si>
  <si>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</si>
  <si>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</si>
  <si>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</si>
  <si>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</si>
  <si>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</si>
  <si>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</si>
  <si>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</si>
  <si>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</si>
  <si>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</si>
  <si>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</si>
  <si>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</si>
  <si>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</si>
  <si>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</si>
  <si>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</si>
  <si>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</si>
  <si>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</si>
  <si>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</si>
  <si>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</si>
  <si>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</si>
  <si>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</si>
  <si>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</si>
  <si>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</si>
  <si>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</si>
  <si>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</si>
  <si>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</si>
  <si>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</si>
  <si>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</si>
  <si>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</si>
  <si>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</si>
  <si>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</si>
  <si>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</si>
  <si>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</si>
  <si>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</si>
  <si>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</si>
  <si>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</si>
  <si>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</si>
  <si>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</si>
  <si>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</si>
  <si>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</si>
  <si>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</si>
  <si>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</si>
  <si>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</si>
  <si>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</si>
  <si>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</si>
  <si>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</si>
  <si>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</si>
  <si>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</si>
  <si>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</si>
  <si>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</si>
  <si>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</si>
  <si>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</si>
  <si>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</si>
  <si>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</si>
  <si>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</si>
  <si>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</si>
  <si>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</si>
  <si>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</si>
  <si>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</si>
  <si>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</si>
  <si>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</si>
  <si>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</si>
  <si>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</si>
  <si>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</si>
  <si>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</si>
  <si>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</si>
  <si>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</si>
  <si>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</si>
  <si>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</si>
  <si>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</si>
  <si>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</si>
  <si>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</si>
  <si>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</si>
  <si>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</si>
  <si>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</si>
  <si>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</si>
  <si>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</si>
  <si>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</si>
  <si>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</si>
  <si>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</si>
  <si>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</si>
  <si>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</si>
  <si>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</si>
  <si>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</si>
  <si>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</si>
  <si>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</si>
  <si>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</si>
  <si>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</si>
  <si>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</si>
  <si>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</si>
  <si>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</si>
  <si>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</si>
  <si>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</si>
  <si>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</si>
  <si>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</si>
  <si>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</si>
  <si>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</si>
  <si>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</si>
  <si>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</si>
  <si>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</si>
  <si>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</si>
  <si>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</si>
  <si>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</si>
  <si>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</si>
  <si>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</si>
  <si>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</si>
  <si>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</si>
  <si>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</si>
  <si>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</si>
  <si>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</si>
  <si>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</si>
  <si>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</si>
  <si>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</si>
  <si>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</si>
  <si>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</si>
  <si>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</si>
  <si>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</si>
  <si>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</si>
  <si>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</si>
  <si>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</si>
  <si>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</si>
  <si>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</si>
  <si>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</si>
  <si>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</si>
  <si>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</si>
  <si>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</si>
  <si>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</si>
  <si>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</si>
  <si>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</si>
  <si>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</si>
  <si>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</si>
  <si>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</si>
  <si>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</si>
  <si>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</si>
  <si>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</si>
  <si>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</si>
  <si>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</si>
  <si>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</si>
  <si>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</si>
  <si>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</si>
  <si>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</si>
  <si>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</si>
  <si>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</si>
  <si>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</si>
  <si>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</si>
  <si>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</si>
  <si>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</si>
  <si>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</si>
  <si>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</si>
  <si>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</si>
  <si>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</si>
  <si>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</si>
  <si>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</si>
  <si>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</si>
  <si>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</si>
  <si>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</si>
  <si>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</si>
  <si>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</si>
  <si>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</si>
  <si>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</si>
  <si>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</si>
  <si>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</si>
  <si>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</si>
  <si>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</si>
  <si>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</si>
  <si>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</si>
  <si>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</si>
  <si>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</si>
  <si>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</si>
  <si>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</si>
  <si>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</si>
  <si>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</si>
  <si>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</si>
  <si>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</si>
  <si>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</si>
  <si>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</si>
  <si>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</si>
  <si>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</si>
  <si>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</si>
  <si>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</si>
  <si>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</si>
  <si>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</si>
  <si>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</si>
  <si>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</si>
  <si>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</si>
  <si>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</si>
  <si>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</si>
  <si>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</si>
  <si>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</si>
  <si>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</si>
  <si>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</si>
  <si>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</si>
  <si>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</si>
  <si>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</si>
  <si>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</si>
  <si>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</si>
  <si>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</si>
  <si>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</si>
  <si>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</si>
  <si>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</si>
  <si>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</si>
  <si>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</si>
  <si>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</si>
  <si>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</si>
  <si>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</si>
  <si>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</si>
  <si>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</si>
  <si>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</si>
  <si>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</si>
  <si>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</si>
  <si>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</si>
  <si>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</si>
  <si>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</si>
  <si>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</si>
  <si>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</si>
  <si>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</si>
  <si>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</si>
  <si>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</si>
  <si>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</si>
  <si>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</si>
  <si>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</si>
  <si>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</si>
  <si>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</si>
  <si>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</si>
  <si>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</si>
  <si>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</si>
  <si>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</si>
  <si>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</si>
  <si>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</si>
  <si>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</si>
  <si>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</si>
  <si>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</si>
  <si>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</si>
  <si>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</si>
  <si>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</si>
  <si>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</si>
  <si>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</si>
  <si>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</si>
  <si>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</si>
  <si>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</si>
  <si>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</si>
  <si>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</si>
  <si>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</si>
  <si>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</si>
  <si>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</si>
  <si>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</si>
  <si>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</si>
  <si>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</si>
  <si>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</si>
  <si>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</si>
  <si>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</si>
  <si>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</si>
  <si>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</si>
  <si>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</si>
  <si>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</si>
  <si>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</si>
  <si>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</si>
  <si>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</si>
  <si>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</si>
  <si>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</si>
  <si>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</si>
  <si>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</si>
  <si>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</si>
  <si>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</si>
  <si>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</si>
  <si>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</si>
  <si>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</si>
  <si>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</si>
  <si>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</si>
  <si>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</si>
  <si>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</si>
  <si>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</si>
  <si>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</si>
  <si>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</si>
  <si>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</si>
  <si>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</si>
  <si>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</si>
  <si>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</si>
  <si>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</si>
  <si>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</si>
  <si>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</si>
  <si>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</si>
  <si>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</si>
  <si>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</si>
  <si>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</si>
  <si>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</si>
  <si>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</si>
  <si>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</si>
  <si>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</si>
  <si>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</si>
  <si>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</si>
  <si>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</si>
  <si>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</si>
  <si>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</si>
  <si>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</si>
  <si>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</si>
  <si>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</si>
  <si>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</si>
  <si>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</si>
  <si>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</si>
  <si>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</si>
  <si>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</si>
  <si>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</si>
  <si>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</si>
  <si>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</si>
  <si>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</si>
  <si>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</si>
  <si>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</si>
  <si>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</si>
  <si>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</si>
  <si>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</si>
  <si>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</si>
  <si>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</si>
  <si>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</si>
  <si>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</si>
  <si>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</si>
  <si>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</si>
  <si>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</si>
  <si>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</si>
  <si>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</si>
  <si>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</si>
  <si>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</si>
  <si>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</si>
  <si>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</si>
  <si>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</si>
  <si>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</si>
  <si>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</si>
  <si>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</si>
  <si>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</si>
  <si>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</si>
  <si>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</si>
  <si>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</si>
  <si>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</si>
  <si>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</si>
  <si>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</si>
  <si>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</si>
  <si>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</si>
  <si>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</si>
  <si>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</si>
  <si>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</si>
  <si>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</si>
  <si>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</si>
  <si>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</si>
  <si>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</si>
  <si>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</si>
  <si>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</si>
  <si>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</si>
  <si>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</si>
  <si>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</si>
  <si>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</si>
  <si>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</si>
  <si>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</si>
  <si>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</si>
  <si>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</si>
  <si>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</si>
  <si>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</si>
  <si>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</si>
  <si>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</si>
  <si>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</si>
  <si>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</si>
  <si>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</si>
  <si>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</si>
  <si>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</si>
  <si>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</si>
  <si>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</si>
  <si>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</si>
  <si>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</si>
  <si>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</si>
  <si>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</si>
  <si>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</si>
  <si>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</si>
  <si>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</si>
  <si>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</si>
  <si>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</si>
  <si>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</si>
  <si>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</si>
  <si>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</si>
  <si>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</si>
  <si>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</si>
  <si>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</si>
  <si>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</si>
  <si>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</si>
  <si>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</si>
  <si>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</si>
  <si>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</si>
  <si>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</si>
  <si>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</si>
  <si>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</si>
  <si>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</si>
  <si>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</si>
  <si>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</si>
  <si>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</si>
  <si>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</si>
  <si>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</si>
  <si>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</si>
  <si>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</si>
  <si>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</si>
  <si>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</si>
  <si>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</si>
  <si>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</si>
  <si>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</si>
  <si>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</si>
  <si>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</si>
  <si>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</si>
  <si>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</si>
  <si>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</si>
  <si>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</si>
  <si>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</si>
  <si>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</si>
  <si>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</si>
  <si>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</si>
  <si>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</si>
  <si>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</si>
  <si>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</si>
  <si>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</si>
  <si>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</si>
  <si>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</si>
  <si>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</si>
  <si>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</si>
  <si>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</si>
  <si>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</si>
  <si>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</si>
  <si>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</si>
  <si>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</si>
  <si>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</si>
  <si>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</si>
  <si>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</si>
  <si>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</si>
  <si>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</si>
  <si>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</si>
  <si>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</si>
  <si>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</si>
  <si>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</si>
  <si>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</si>
  <si>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</si>
  <si>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</si>
  <si>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</si>
  <si>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</si>
  <si>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</si>
  <si>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</si>
  <si>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</si>
  <si>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</si>
  <si>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</si>
  <si>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</si>
  <si>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</si>
  <si>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</si>
  <si>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</si>
  <si>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</si>
  <si>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</si>
  <si>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</si>
  <si>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</si>
  <si>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</si>
  <si>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</si>
  <si>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</si>
  <si>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</si>
  <si>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</si>
  <si>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</si>
  <si>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</si>
  <si>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</si>
  <si>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</si>
  <si>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</si>
  <si>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</si>
  <si>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</si>
  <si>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</si>
  <si>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</si>
  <si>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</si>
  <si>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</si>
  <si>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</si>
  <si>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</si>
  <si>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</si>
  <si>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</si>
  <si>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</si>
  <si>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</si>
  <si>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</si>
  <si>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</si>
  <si>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</si>
  <si>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</si>
  <si>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</si>
  <si>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</si>
  <si>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</si>
  <si>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</si>
  <si>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</si>
  <si>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</si>
  <si>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</si>
  <si>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</si>
  <si>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</si>
  <si>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</si>
  <si>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</si>
  <si>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</si>
  <si>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</si>
  <si>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</si>
  <si>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</si>
  <si>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</si>
  <si>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</si>
  <si>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</si>
  <si>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</si>
  <si>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</si>
  <si>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</si>
  <si>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</si>
  <si>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</si>
  <si>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</si>
  <si>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</si>
  <si>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</si>
  <si>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</si>
  <si>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</si>
  <si>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</si>
  <si>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</si>
  <si>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</si>
  <si>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</si>
  <si>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</si>
  <si>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</si>
  <si>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</si>
  <si>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</si>
  <si>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</si>
  <si>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</si>
  <si>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</si>
  <si>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</si>
  <si>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</si>
  <si>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</si>
  <si>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</si>
  <si>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</si>
  <si>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</si>
  <si>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</si>
  <si>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</si>
  <si>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</si>
  <si>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</si>
  <si>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</si>
  <si>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</si>
  <si>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</si>
  <si>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</si>
  <si>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</si>
  <si>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</si>
  <si>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</si>
  <si>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</si>
  <si>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</si>
  <si>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</si>
  <si>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</si>
  <si>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</si>
  <si>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</si>
  <si>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</si>
  <si>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</si>
  <si>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</si>
  <si>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</si>
  <si>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</si>
  <si>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</si>
  <si>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</si>
  <si>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</si>
  <si>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</si>
  <si>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</si>
  <si>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</si>
  <si>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</si>
  <si>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</si>
  <si>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</si>
  <si>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</si>
  <si>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</si>
  <si>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</si>
  <si>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</si>
  <si>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</si>
  <si>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</si>
  <si>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</si>
  <si>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</si>
  <si>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</si>
  <si>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</si>
  <si>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</si>
  <si>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</si>
  <si>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</si>
  <si>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</si>
  <si>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</si>
  <si>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</si>
  <si>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</si>
  <si>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</si>
  <si>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</si>
  <si>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</si>
  <si>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</si>
  <si>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</si>
  <si>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</si>
  <si>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</si>
  <si>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</si>
  <si>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</si>
  <si>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</si>
  <si>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</si>
  <si>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</si>
  <si>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</si>
  <si>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</si>
  <si>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</si>
  <si>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</si>
  <si>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</si>
  <si>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</si>
  <si>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</si>
  <si>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</si>
  <si>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</si>
  <si>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</si>
  <si>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</si>
  <si>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</si>
  <si>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</si>
  <si>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</si>
  <si>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</si>
  <si>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</si>
  <si>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</si>
  <si>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</si>
  <si>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</si>
  <si>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</si>
  <si>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</si>
  <si>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</si>
  <si>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</si>
  <si>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</si>
  <si>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</si>
  <si>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</si>
  <si>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</si>
  <si>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</si>
  <si>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</si>
  <si>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</si>
  <si>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</si>
  <si>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</si>
  <si>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</si>
  <si>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</si>
  <si>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</si>
  <si>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</si>
  <si>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</si>
  <si>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</si>
  <si>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</si>
  <si>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</si>
  <si>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</si>
  <si>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</si>
  <si>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</si>
  <si>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</si>
  <si>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</si>
  <si>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</si>
  <si>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</si>
  <si>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</si>
  <si>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</si>
  <si>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</si>
  <si>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</si>
  <si>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</si>
  <si>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</si>
  <si>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</si>
  <si>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</si>
  <si>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</si>
  <si>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</si>
  <si>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</si>
  <si>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</si>
  <si>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</si>
  <si>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</si>
  <si>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</si>
  <si>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</si>
  <si>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</si>
  <si>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</si>
  <si>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</si>
  <si>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</si>
  <si>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</si>
  <si>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</si>
  <si>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</si>
  <si>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</si>
  <si>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</si>
  <si>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</si>
  <si>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</si>
  <si>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</si>
  <si>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</si>
  <si>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</si>
  <si>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</si>
  <si>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</si>
  <si>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</si>
  <si>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</si>
  <si>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</si>
  <si>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</si>
  <si>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</si>
  <si>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</si>
  <si>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</si>
  <si>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</si>
  <si>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</si>
  <si>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</si>
  <si>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</si>
  <si>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</si>
  <si>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</si>
  <si>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</si>
  <si>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</si>
  <si>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</si>
  <si>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</si>
  <si>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</si>
  <si>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</si>
  <si>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</si>
  <si>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</si>
  <si>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</si>
  <si>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</si>
  <si>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</si>
  <si>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</si>
  <si>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</si>
  <si>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</si>
  <si>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</si>
  <si>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</si>
  <si>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</si>
  <si>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</si>
  <si>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</si>
  <si>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</si>
  <si>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</si>
  <si>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</si>
  <si>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</si>
  <si>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</si>
  <si>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</si>
  <si>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</si>
  <si>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</si>
  <si>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</si>
  <si>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</si>
  <si>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</si>
  <si>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</si>
  <si>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</si>
  <si>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</si>
  <si>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</si>
  <si>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</si>
  <si>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</si>
  <si>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</si>
  <si>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</si>
  <si>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</si>
  <si>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</si>
  <si>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</si>
  <si>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</si>
  <si>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</si>
  <si>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</si>
  <si>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</si>
  <si>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</si>
  <si>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</si>
  <si>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</si>
  <si>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</si>
  <si>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</si>
  <si>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</si>
  <si>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</si>
  <si>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</si>
  <si>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</si>
  <si>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</si>
  <si>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</si>
  <si>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</si>
  <si>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</si>
  <si>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</si>
  <si>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</si>
  <si>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</si>
  <si>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</si>
  <si>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</si>
  <si>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</si>
  <si>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</si>
  <si>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</si>
  <si>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</si>
  <si>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</si>
  <si>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</si>
  <si>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</si>
  <si>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</si>
  <si>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</si>
  <si>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</si>
  <si>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</si>
  <si>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</si>
  <si>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</si>
  <si>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</si>
  <si>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</si>
  <si>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</si>
  <si>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</si>
  <si>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</si>
  <si>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</si>
  <si>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</si>
  <si>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</si>
  <si>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</si>
  <si>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</si>
  <si>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</si>
  <si>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</si>
  <si>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</si>
  <si>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</si>
  <si>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</si>
  <si>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</si>
  <si>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</si>
  <si>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</si>
  <si>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</si>
  <si>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</si>
  <si>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</si>
  <si>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</si>
  <si>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</si>
  <si>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</si>
  <si>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</si>
  <si>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</si>
  <si>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</si>
  <si>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</si>
  <si>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</si>
  <si>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</si>
  <si>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</si>
  <si>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</si>
  <si>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</si>
  <si>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</si>
  <si>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</si>
  <si>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</si>
  <si>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</si>
  <si>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</si>
  <si>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</si>
  <si>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</si>
  <si>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</si>
  <si>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</si>
  <si>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</si>
  <si>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</si>
  <si>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</si>
  <si>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</si>
  <si>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</si>
  <si>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</si>
  <si>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</si>
  <si>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</si>
  <si>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</si>
  <si>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</si>
  <si>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</si>
  <si>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</si>
  <si>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</si>
  <si>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</si>
  <si>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</si>
  <si>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</si>
  <si>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</si>
  <si>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</si>
  <si>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</si>
  <si>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</si>
  <si>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</si>
  <si>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</si>
  <si>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</si>
  <si>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</si>
  <si>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</si>
  <si>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</si>
  <si>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</si>
  <si>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</si>
  <si>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</si>
  <si>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</si>
  <si>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</si>
  <si>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</si>
  <si>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</si>
  <si>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</si>
  <si>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</si>
  <si>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</si>
  <si>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</si>
  <si>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</si>
  <si>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</si>
  <si>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</si>
  <si>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</si>
  <si>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</si>
  <si>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</si>
  <si>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</si>
  <si>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</si>
  <si>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</si>
  <si>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</si>
  <si>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</si>
  <si>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</si>
  <si>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</si>
  <si>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</si>
  <si>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</si>
  <si>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</si>
  <si>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</si>
  <si>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</si>
  <si>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</si>
  <si>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</si>
  <si>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</si>
  <si>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</si>
  <si>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</si>
  <si>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</si>
  <si>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</si>
  <si>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</si>
  <si>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</si>
  <si>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</si>
  <si>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</si>
  <si>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</si>
  <si>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</si>
  <si>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</si>
  <si>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</si>
  <si>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</si>
  <si>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</si>
  <si>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</si>
  <si>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</si>
  <si>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</si>
  <si>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</si>
  <si>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</si>
  <si>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</si>
  <si>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</si>
  <si>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</si>
  <si>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</si>
  <si>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</si>
  <si>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</si>
  <si>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</si>
  <si>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</si>
  <si>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</si>
  <si>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</si>
  <si>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</si>
  <si>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</si>
  <si>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</si>
  <si>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</si>
  <si>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</si>
  <si>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</si>
  <si>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</si>
  <si>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</si>
  <si>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</si>
  <si>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</si>
  <si>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</si>
  <si>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</si>
  <si>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</si>
  <si>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</si>
  <si>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</si>
  <si>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</si>
  <si>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</si>
  <si>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</si>
  <si>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</si>
  <si>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</si>
  <si>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</si>
  <si>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</si>
  <si>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</si>
  <si>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</si>
  <si>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</si>
  <si>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</si>
  <si>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</si>
  <si>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</si>
  <si>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</si>
  <si>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</si>
  <si>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</si>
  <si>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</si>
  <si>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</si>
  <si>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</si>
  <si>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</si>
  <si>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</si>
  <si>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</si>
  <si>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</si>
  <si>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</si>
  <si>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</si>
  <si>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</si>
  <si>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</si>
  <si>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</si>
  <si>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</si>
  <si>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</si>
  <si>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</si>
  <si>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</si>
  <si>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</si>
  <si>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</si>
  <si>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</si>
  <si>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</si>
  <si>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</si>
  <si>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</si>
  <si>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</si>
  <si>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</si>
  <si>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</si>
  <si>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</si>
  <si>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</si>
  <si>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</si>
  <si>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</si>
  <si>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</si>
  <si>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</si>
  <si>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</si>
  <si>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</si>
  <si>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</si>
  <si>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</si>
  <si>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</si>
  <si>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</si>
  <si>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</si>
  <si>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</si>
  <si>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</si>
  <si>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</si>
  <si>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</si>
  <si>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</si>
  <si>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</si>
  <si>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</si>
  <si>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</si>
  <si>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</si>
  <si>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</si>
  <si>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</si>
  <si>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</si>
  <si>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</si>
  <si>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</si>
  <si>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</si>
  <si>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</si>
  <si>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</si>
  <si>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</si>
  <si>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</si>
  <si>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</si>
  <si>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</si>
  <si>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</si>
  <si>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</si>
  <si>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</si>
  <si>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</si>
  <si>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</si>
  <si>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</si>
  <si>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</si>
  <si>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</si>
  <si>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</si>
  <si>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</si>
  <si>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</si>
  <si>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</si>
  <si>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</si>
  <si>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</si>
  <si>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</si>
  <si>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</si>
  <si>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</si>
  <si>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</si>
  <si>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</si>
  <si>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</si>
  <si>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</si>
  <si>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</si>
  <si>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</si>
  <si>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</si>
  <si>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</si>
  <si>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</si>
  <si>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</si>
  <si>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</si>
  <si>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</si>
  <si>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</si>
  <si>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</si>
  <si>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</si>
  <si>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</si>
  <si>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</si>
  <si>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</si>
  <si>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</si>
  <si>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</si>
  <si>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</si>
  <si>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</si>
  <si>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</si>
  <si>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</si>
  <si>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</si>
  <si>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</si>
  <si>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</si>
  <si>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</si>
  <si>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</si>
  <si>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</si>
  <si>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</si>
  <si>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</si>
  <si>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</si>
  <si>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</si>
  <si>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</si>
  <si>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</si>
  <si>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</si>
  <si>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</si>
  <si>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</si>
  <si>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</si>
  <si>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</si>
  <si>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</si>
  <si>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</si>
  <si>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</si>
  <si>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</si>
  <si>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</si>
  <si>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</si>
  <si>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</si>
  <si>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</si>
  <si>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</si>
  <si>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</si>
  <si>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</si>
  <si>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</si>
  <si>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</si>
  <si>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</si>
  <si>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</si>
  <si>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</si>
  <si>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</si>
  <si>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</si>
  <si>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</si>
  <si>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</si>
  <si>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</si>
  <si>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</si>
  <si>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</si>
  <si>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</si>
  <si>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</si>
  <si>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</si>
  <si>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</si>
  <si>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</si>
  <si>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</si>
  <si>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</si>
  <si>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</si>
  <si>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</si>
  <si>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</si>
  <si>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</si>
  <si>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</si>
  <si>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</si>
  <si>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</si>
  <si>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</si>
  <si>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</si>
  <si>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</si>
  <si>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</si>
  <si>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</si>
  <si>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</si>
  <si>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</si>
  <si>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</si>
  <si>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</si>
  <si>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</si>
  <si>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</si>
  <si>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</si>
  <si>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</si>
  <si>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</si>
  <si>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</si>
  <si>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</si>
  <si>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</si>
  <si>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</si>
  <si>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</si>
  <si>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</si>
  <si>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</si>
  <si>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</si>
  <si>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</si>
  <si>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</si>
  <si>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</si>
  <si>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</si>
  <si>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</si>
  <si>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</si>
  <si>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</si>
  <si>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</si>
  <si>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</si>
  <si>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</si>
  <si>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</si>
  <si>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</si>
  <si>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</si>
  <si>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</si>
  <si>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</si>
  <si>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</si>
  <si>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</si>
  <si>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</si>
  <si>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</si>
  <si>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</si>
  <si>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</si>
  <si>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</si>
  <si>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</si>
  <si>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</si>
  <si>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</si>
  <si>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</si>
  <si>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</si>
  <si>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</si>
  <si>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</si>
  <si>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</si>
  <si>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</si>
  <si>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</si>
  <si>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</si>
  <si>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</si>
  <si>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</si>
  <si>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</si>
  <si>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</si>
  <si>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</si>
  <si>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</si>
  <si>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</si>
  <si>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</si>
  <si>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</si>
  <si>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</si>
  <si>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</si>
  <si>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</si>
  <si>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</si>
  <si>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</si>
  <si>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</si>
  <si>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</si>
  <si>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</si>
  <si>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</si>
  <si>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</si>
  <si>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</si>
  <si>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</si>
  <si>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</si>
  <si>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</si>
  <si>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</si>
  <si>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</si>
  <si>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</si>
  <si>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</si>
  <si>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</si>
  <si>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</si>
  <si>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</si>
  <si>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</si>
  <si>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</si>
  <si>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</si>
  <si>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</si>
  <si>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</si>
  <si>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</si>
  <si>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</si>
  <si>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</si>
  <si>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</si>
  <si>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</si>
  <si>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</si>
  <si>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</si>
  <si>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</si>
  <si>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</si>
  <si>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</si>
  <si>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</si>
  <si>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</si>
  <si>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</si>
  <si>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</si>
  <si>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</si>
  <si>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</si>
  <si>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</si>
  <si>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</si>
  <si>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</si>
  <si>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</si>
  <si>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</si>
  <si>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</si>
  <si>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</si>
  <si>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</si>
  <si>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</si>
  <si>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</si>
  <si>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</si>
  <si>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</si>
  <si>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</si>
  <si>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</si>
  <si>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</si>
  <si>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</si>
  <si>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</si>
  <si>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</si>
  <si>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</si>
  <si>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</si>
  <si>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</si>
  <si>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</si>
  <si>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</si>
  <si>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</si>
  <si>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</si>
  <si>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</si>
  <si>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</si>
  <si>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</si>
  <si>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</si>
  <si>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</si>
  <si>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</si>
  <si>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</si>
  <si>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</si>
  <si>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</si>
  <si>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</si>
  <si>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</si>
  <si>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</si>
  <si>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</si>
  <si>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</si>
  <si>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</si>
  <si>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</si>
  <si>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</si>
  <si>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</si>
  <si>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</si>
  <si>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</si>
  <si>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</si>
  <si>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</si>
  <si>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</si>
  <si>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</si>
  <si>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</si>
  <si>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</si>
  <si>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</si>
  <si>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</si>
  <si>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</si>
  <si>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</si>
  <si>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</si>
  <si>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</si>
  <si>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</si>
  <si>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</si>
  <si>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</si>
  <si>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</si>
  <si>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</si>
  <si>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</si>
  <si>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</si>
  <si>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</si>
  <si>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</si>
  <si>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</si>
  <si>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</si>
  <si>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</si>
  <si>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</si>
  <si>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</si>
  <si>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</si>
  <si>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</si>
  <si>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</si>
  <si>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</si>
  <si>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</si>
  <si>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</si>
  <si>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</si>
  <si>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</si>
  <si>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</si>
  <si>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</si>
  <si>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</si>
  <si>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</si>
  <si>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</si>
  <si>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</si>
  <si>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</si>
  <si>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</si>
  <si>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</si>
  <si>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</si>
  <si>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</si>
  <si>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</si>
  <si>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</si>
  <si>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</si>
  <si>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</si>
  <si>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</si>
  <si>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</si>
  <si>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</si>
  <si>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</si>
  <si>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</si>
  <si>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</si>
  <si>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</si>
  <si>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</si>
  <si>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</si>
  <si>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</si>
  <si>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</si>
  <si>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</si>
  <si>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</si>
  <si>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</si>
  <si>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</si>
  <si>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</si>
  <si>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</si>
  <si>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</si>
  <si>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</si>
  <si>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</si>
  <si>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</si>
  <si>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</si>
  <si>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</si>
  <si>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</si>
  <si>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</si>
  <si>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</si>
  <si>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</si>
  <si>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</si>
  <si>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</si>
  <si>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</si>
  <si>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</si>
  <si>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</si>
  <si>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</si>
  <si>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</si>
  <si>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</si>
  <si>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</si>
  <si>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</si>
  <si>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</si>
  <si>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</si>
  <si>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</si>
  <si>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</si>
  <si>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</si>
  <si>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</si>
  <si>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</si>
  <si>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</si>
  <si>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</si>
  <si>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</si>
  <si>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</si>
  <si>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</si>
  <si>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</si>
  <si>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</si>
  <si>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</si>
  <si>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</si>
  <si>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</si>
  <si>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</si>
  <si>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</si>
  <si>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</si>
  <si>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</si>
  <si>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</si>
  <si>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</si>
  <si>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</si>
  <si>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</si>
  <si>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</si>
  <si>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</si>
  <si>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</si>
  <si>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</si>
  <si>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</si>
  <si>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</si>
  <si>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</si>
  <si>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</si>
  <si>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</si>
  <si>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</si>
  <si>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</si>
  <si>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</si>
  <si>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</si>
  <si>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</si>
  <si>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</si>
  <si>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</si>
  <si>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</si>
  <si>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</si>
  <si>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</si>
  <si>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</si>
  <si>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</si>
  <si>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</si>
  <si>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</si>
  <si>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</si>
  <si>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</si>
  <si>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</si>
  <si>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</si>
  <si>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</si>
  <si>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</si>
  <si>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</si>
  <si>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</si>
  <si>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</si>
  <si>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</si>
  <si>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</si>
  <si>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</si>
  <si>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</si>
  <si>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</si>
  <si>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</si>
  <si>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</si>
  <si>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</si>
  <si>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</si>
  <si>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</si>
  <si>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</si>
  <si>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</si>
  <si>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</si>
  <si>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</si>
  <si>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</si>
  <si>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</si>
  <si>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</si>
  <si>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</si>
  <si>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</si>
  <si>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</si>
  <si>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</si>
  <si>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</si>
  <si>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</si>
  <si>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</si>
  <si>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</si>
  <si>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</si>
  <si>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</si>
  <si>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</si>
  <si>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</si>
  <si>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</si>
  <si>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</si>
  <si>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</si>
  <si>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</si>
  <si>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</si>
  <si>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</si>
  <si>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</si>
  <si>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</si>
  <si>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</si>
  <si>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</si>
  <si>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</si>
  <si>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</si>
  <si>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</si>
  <si>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</si>
  <si>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</si>
  <si>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</si>
  <si>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</si>
  <si>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</si>
  <si>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</si>
  <si>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</si>
  <si>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</si>
  <si>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</si>
  <si>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</si>
  <si>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</si>
  <si>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</si>
  <si>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</si>
  <si>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</si>
  <si>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</si>
  <si>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</si>
  <si>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</si>
  <si>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</si>
  <si>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</si>
  <si>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</si>
  <si>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</si>
  <si>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</si>
  <si>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</si>
  <si>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</si>
  <si>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</si>
  <si>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</si>
  <si>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</si>
  <si>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</si>
  <si>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</si>
  <si>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</si>
  <si>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</si>
  <si>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</si>
  <si>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</si>
  <si>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</si>
  <si>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</si>
  <si>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</si>
  <si>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</si>
  <si>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</si>
  <si>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</si>
  <si>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</si>
  <si>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</si>
  <si>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</si>
  <si>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</si>
  <si>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</si>
  <si>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</si>
  <si>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</si>
  <si>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</si>
  <si>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</si>
  <si>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</si>
  <si>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</si>
  <si>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</si>
  <si>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</si>
  <si>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</si>
  <si>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</si>
  <si>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</si>
  <si>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</si>
  <si>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</si>
  <si>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</si>
  <si>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</si>
  <si>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</si>
  <si>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</si>
  <si>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</si>
  <si>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</si>
  <si>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</si>
  <si>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</si>
  <si>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</si>
  <si>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</si>
  <si>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</si>
  <si>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</si>
  <si>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</si>
  <si>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</si>
  <si>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</si>
  <si>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</si>
  <si>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</si>
  <si>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</si>
  <si>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</si>
  <si>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</si>
  <si>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</si>
  <si>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</si>
  <si>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</si>
  <si>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</si>
  <si>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</si>
  <si>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</si>
  <si>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</si>
  <si>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</si>
  <si>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</si>
  <si>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</si>
  <si>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</si>
  <si>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</si>
  <si>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</si>
  <si>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</si>
  <si>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</si>
  <si>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</si>
  <si>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</si>
  <si>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</si>
  <si>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</si>
  <si>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</si>
  <si>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</si>
  <si>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</si>
  <si>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</si>
  <si>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</si>
  <si>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</si>
  <si>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</si>
  <si>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</si>
  <si>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</si>
  <si>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</si>
  <si>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</si>
  <si>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</si>
  <si>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</si>
  <si>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</si>
  <si>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</si>
  <si>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</si>
  <si>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</si>
  <si>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</si>
  <si>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</si>
  <si>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</si>
  <si>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</si>
  <si>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</si>
  <si>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</si>
  <si>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</si>
  <si>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</si>
  <si>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</si>
  <si>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</si>
  <si>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</si>
  <si>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</si>
  <si>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</si>
  <si>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</si>
  <si>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</si>
  <si>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</si>
  <si>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</si>
  <si>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</si>
  <si>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</si>
  <si>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</si>
  <si>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</si>
  <si>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</si>
  <si>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</si>
  <si>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</si>
  <si>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</si>
  <si>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</si>
  <si>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</si>
  <si>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</si>
  <si>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</si>
  <si>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</si>
  <si>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</si>
  <si>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</si>
  <si>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</si>
  <si>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</si>
  <si>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</si>
  <si>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</si>
  <si>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</si>
  <si>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</si>
  <si>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</si>
  <si>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</si>
  <si>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</si>
  <si>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</si>
  <si>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</si>
  <si>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</si>
  <si>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</si>
  <si>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</si>
  <si>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</si>
  <si>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</si>
  <si>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</si>
  <si>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</si>
  <si>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</si>
  <si>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</si>
  <si>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</si>
  <si>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</si>
  <si>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</si>
  <si>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</si>
  <si>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</si>
  <si>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</si>
  <si>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</si>
  <si>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</si>
  <si>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</si>
  <si>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</si>
  <si>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</si>
  <si>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</si>
  <si>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</si>
  <si>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</si>
  <si>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</si>
  <si>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</si>
  <si>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</si>
  <si>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</si>
  <si>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</si>
  <si>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</si>
  <si>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</si>
  <si>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</si>
  <si>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</si>
  <si>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</si>
  <si>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</si>
  <si>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</si>
  <si>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</si>
  <si>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</si>
  <si>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</si>
  <si>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</si>
  <si>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</si>
  <si>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</si>
  <si>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</si>
  <si>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</si>
  <si>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</si>
  <si>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</si>
  <si>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</si>
  <si>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</si>
  <si>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</si>
  <si>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</si>
  <si>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</si>
  <si>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</si>
  <si>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</si>
  <si>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</si>
  <si>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</si>
  <si>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</si>
  <si>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</si>
  <si>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</si>
  <si>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</si>
  <si>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</si>
  <si>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</si>
  <si>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</si>
  <si>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</si>
  <si>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</si>
  <si>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</si>
  <si>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</si>
  <si>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</si>
  <si>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</si>
  <si>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</si>
  <si>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</si>
  <si>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</si>
  <si>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</si>
  <si>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</si>
  <si>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</si>
  <si>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</si>
  <si>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</si>
  <si>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</si>
  <si>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</si>
  <si>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</si>
  <si>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</si>
  <si>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</si>
  <si>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</si>
  <si>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</si>
  <si>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</si>
  <si>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</si>
  <si>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</si>
  <si>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</si>
  <si>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</si>
  <si>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</si>
  <si>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</si>
  <si>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</si>
  <si>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</si>
  <si>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</si>
  <si>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</si>
  <si>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</si>
  <si>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</si>
  <si>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</si>
  <si>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</si>
  <si>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</si>
  <si>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</si>
  <si>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</si>
  <si>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</si>
  <si>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</si>
  <si>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</si>
  <si>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</si>
  <si>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</si>
  <si>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</si>
  <si>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</si>
  <si>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</si>
  <si>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</si>
  <si>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</si>
  <si>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</si>
  <si>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</si>
  <si>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</si>
  <si>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</si>
  <si>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</si>
  <si>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</si>
  <si>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</si>
  <si>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</si>
  <si>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</si>
  <si>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</si>
  <si>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</si>
  <si>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</si>
  <si>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</si>
  <si>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</si>
  <si>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</si>
  <si>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</si>
  <si>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</si>
  <si>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</si>
  <si>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</si>
  <si>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</si>
  <si>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</si>
  <si>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</si>
  <si>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</si>
  <si>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</si>
  <si>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</si>
  <si>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</si>
  <si>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</si>
  <si>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</si>
  <si>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</si>
  <si>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</si>
  <si>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</si>
  <si>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</si>
  <si>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</si>
  <si>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</si>
  <si>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</si>
  <si>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</si>
  <si>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</si>
  <si>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</si>
  <si>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</si>
  <si>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</si>
  <si>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</si>
  <si>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</si>
  <si>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</si>
  <si>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</si>
  <si>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</si>
  <si>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</si>
  <si>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</si>
  <si>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</si>
  <si>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</si>
  <si>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</si>
  <si>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</si>
  <si>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</si>
  <si>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</si>
  <si>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</si>
  <si>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</si>
  <si>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</si>
  <si>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</si>
  <si>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</si>
  <si>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</si>
  <si>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</si>
  <si>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</si>
  <si>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</si>
  <si>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</si>
  <si>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</si>
  <si>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</si>
  <si>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</si>
  <si>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</si>
  <si>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</si>
  <si>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</si>
  <si>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</si>
  <si>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</si>
  <si>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</si>
  <si>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</si>
  <si>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</si>
  <si>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</si>
  <si>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</si>
  <si>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</si>
  <si>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</si>
  <si>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</si>
  <si>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</si>
  <si>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</si>
  <si>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</si>
  <si>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</si>
  <si>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</si>
  <si>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</si>
  <si>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</si>
  <si>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</si>
  <si>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</si>
  <si>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</si>
  <si>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</si>
  <si>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</si>
  <si>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</si>
  <si>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</si>
  <si>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</si>
  <si>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</si>
  <si>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</si>
  <si>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</si>
  <si>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</si>
  <si>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</si>
  <si>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</si>
  <si>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</si>
  <si>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</si>
  <si>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</si>
  <si>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</si>
  <si>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</si>
  <si>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</si>
  <si>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</si>
  <si>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</si>
  <si>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</si>
  <si>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</si>
  <si>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</si>
  <si>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</si>
  <si>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</si>
  <si>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</si>
  <si>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</si>
  <si>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</si>
  <si>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</si>
  <si>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</si>
  <si>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</si>
  <si>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</si>
  <si>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</si>
  <si>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</si>
  <si>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</si>
  <si>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</si>
  <si>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</si>
  <si>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</si>
  <si>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</si>
  <si>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</si>
  <si>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</si>
  <si>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</si>
  <si>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</si>
  <si>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</si>
  <si>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</si>
  <si>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</si>
  <si>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</si>
  <si>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</si>
  <si>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</si>
  <si>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</si>
  <si>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</si>
  <si>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</si>
  <si>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</si>
  <si>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</si>
  <si>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</si>
  <si>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</si>
  <si>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</si>
  <si>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</si>
  <si>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</si>
  <si>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</si>
  <si>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</si>
  <si>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</si>
  <si>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</si>
  <si>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</si>
  <si>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</si>
  <si>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</si>
  <si>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</si>
  <si>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</si>
  <si>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</si>
  <si>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</si>
  <si>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</si>
  <si>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</si>
  <si>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</si>
  <si>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</si>
  <si>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</si>
  <si>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</si>
  <si>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</si>
  <si>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</si>
  <si>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</si>
  <si>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</si>
  <si>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</si>
  <si>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</si>
  <si>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</si>
  <si>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</si>
  <si>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</si>
  <si>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</si>
  <si>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</si>
  <si>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</si>
  <si>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</si>
  <si>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</si>
  <si>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</si>
  <si>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</si>
  <si>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</si>
  <si>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</si>
  <si>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</si>
  <si>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</si>
  <si>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</si>
  <si>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</si>
  <si>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</si>
  <si>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</si>
  <si>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</si>
  <si>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</si>
  <si>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</si>
  <si>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</si>
  <si>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</si>
  <si>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</si>
  <si>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</si>
  <si>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</si>
  <si>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</si>
  <si>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</si>
  <si>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</si>
  <si>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</si>
  <si>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</si>
  <si>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</si>
  <si>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</si>
  <si>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</si>
  <si>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</si>
  <si>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</si>
  <si>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</si>
  <si>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</si>
  <si>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</si>
  <si>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</si>
  <si>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</si>
  <si>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</si>
  <si>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</si>
  <si>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</si>
  <si>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</si>
  <si>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</si>
  <si>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</si>
  <si>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</si>
  <si>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</si>
  <si>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</si>
  <si>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</si>
  <si>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</si>
  <si>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</si>
  <si>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</si>
  <si>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</si>
  <si>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</si>
  <si>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</si>
  <si>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</si>
  <si>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</si>
  <si>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</si>
  <si>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</si>
  <si>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</si>
  <si>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</si>
  <si>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</si>
  <si>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</si>
  <si>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</si>
  <si>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</si>
  <si>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</si>
  <si>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</si>
  <si>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</si>
  <si>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</si>
  <si>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</si>
  <si>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</si>
  <si>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</si>
  <si>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</si>
  <si>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</si>
  <si>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</si>
  <si>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</si>
  <si>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</si>
  <si>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</si>
  <si>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</si>
  <si>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</si>
  <si>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</si>
  <si>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</si>
  <si>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</si>
  <si>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</si>
  <si>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</si>
  <si>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</si>
  <si>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</si>
  <si>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</si>
  <si>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</si>
  <si>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</si>
  <si>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</si>
  <si>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</si>
  <si>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</si>
  <si>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</si>
  <si>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</si>
  <si>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</si>
  <si>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</si>
  <si>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</si>
  <si>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</si>
  <si>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</si>
  <si>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</si>
  <si>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</si>
  <si>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</si>
  <si>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</si>
  <si>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</si>
  <si>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</si>
  <si>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</si>
  <si>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</si>
  <si>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</si>
  <si>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</si>
  <si>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</si>
  <si>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</si>
  <si>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</si>
  <si>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</si>
  <si>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</si>
  <si>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</si>
  <si>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</si>
  <si>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</si>
  <si>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</si>
  <si>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</si>
  <si>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</si>
  <si>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</si>
  <si>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</si>
  <si>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</si>
  <si>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</si>
  <si>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</si>
  <si>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</si>
  <si>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</si>
  <si>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</si>
  <si>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</si>
  <si>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</si>
  <si>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</si>
  <si>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</si>
  <si>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</si>
  <si>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</si>
  <si>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</si>
  <si>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</si>
  <si>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</si>
  <si>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</si>
  <si>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</si>
  <si>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</si>
  <si>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</si>
  <si>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</si>
  <si>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</si>
  <si>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</si>
  <si>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</si>
  <si>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</si>
  <si>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</si>
  <si>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</si>
  <si>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</si>
  <si>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</si>
  <si>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</si>
  <si>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</si>
  <si>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</si>
  <si>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</si>
  <si>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</si>
  <si>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</si>
  <si>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</si>
  <si>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</si>
  <si>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</si>
  <si>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</si>
  <si>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</si>
  <si>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</si>
  <si>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</si>
  <si>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</si>
  <si>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</si>
  <si>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</si>
  <si>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</si>
  <si>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</si>
  <si>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</si>
  <si>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</si>
  <si>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</si>
  <si>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</si>
  <si>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</si>
  <si>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</si>
  <si>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</si>
  <si>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</si>
  <si>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</si>
  <si>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</si>
  <si>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</si>
  <si>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</si>
  <si>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</si>
  <si>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</si>
  <si>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</si>
  <si>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</si>
  <si>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</si>
  <si>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</si>
  <si>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</si>
  <si>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</si>
  <si>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</si>
  <si>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</si>
  <si>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</si>
  <si>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</si>
  <si>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</si>
  <si>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</si>
  <si>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</si>
  <si>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</si>
  <si>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</si>
  <si>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</si>
  <si>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</si>
  <si>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</si>
  <si>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</si>
  <si>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</si>
  <si>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</si>
  <si>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</si>
  <si>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</si>
  <si>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</si>
  <si>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</si>
  <si>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</si>
  <si>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</si>
  <si>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</si>
  <si>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</si>
  <si>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</si>
  <si>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</si>
  <si>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</si>
  <si>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</si>
  <si>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</si>
  <si>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</si>
  <si>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</si>
  <si>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</si>
  <si>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</si>
  <si>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</si>
  <si>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</si>
  <si>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</si>
  <si>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</si>
  <si>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</si>
  <si>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</si>
  <si>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</si>
  <si>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</si>
  <si>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</si>
  <si>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</si>
  <si>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</si>
  <si>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</si>
  <si>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</si>
  <si>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</si>
  <si>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</si>
  <si>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</si>
  <si>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</si>
  <si>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</si>
  <si>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</si>
  <si>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</si>
  <si>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</si>
  <si>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</si>
  <si>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</si>
  <si>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</si>
  <si>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</si>
  <si>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</si>
  <si>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</si>
  <si>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</si>
  <si>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</si>
  <si>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</si>
  <si>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</si>
  <si>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</si>
  <si>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</si>
  <si>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</si>
  <si>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</si>
  <si>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</si>
  <si>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</si>
  <si>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</si>
  <si>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</si>
  <si>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</si>
  <si>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</si>
  <si>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</si>
  <si>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</si>
  <si>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</si>
  <si>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</si>
  <si>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</si>
  <si>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</si>
  <si>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</si>
  <si>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</si>
  <si>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</si>
  <si>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</si>
  <si>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</si>
  <si>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</si>
  <si>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</si>
  <si>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</si>
  <si>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</si>
  <si>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</si>
  <si>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</si>
  <si>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</si>
  <si>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</si>
  <si>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</si>
  <si>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</si>
  <si>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</si>
  <si>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</si>
  <si>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</si>
  <si>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</si>
  <si>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</si>
  <si>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</si>
  <si>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</si>
  <si>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</si>
  <si>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</si>
  <si>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</si>
  <si>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</si>
  <si>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</si>
  <si>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</si>
  <si>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</si>
  <si>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</si>
  <si>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</si>
  <si>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</si>
  <si>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</si>
  <si>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</si>
  <si>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</si>
  <si>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</si>
  <si>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</si>
  <si>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</si>
  <si>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</si>
  <si>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</si>
  <si>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</si>
  <si>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</si>
  <si>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</si>
  <si>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</si>
  <si>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</si>
  <si>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</si>
  <si>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</si>
  <si>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</si>
  <si>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</si>
  <si>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</si>
  <si>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</si>
  <si>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</si>
  <si>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</si>
  <si>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</si>
  <si>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</si>
  <si>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</si>
  <si>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</si>
  <si>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</si>
  <si>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</si>
  <si>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</si>
  <si>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</si>
  <si>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</si>
  <si>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</si>
  <si>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</si>
  <si>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</si>
  <si>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</si>
  <si>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</si>
  <si>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</si>
  <si>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</si>
  <si>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</si>
  <si>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</si>
  <si>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</si>
  <si>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</si>
  <si>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</si>
  <si>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</si>
  <si>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</si>
  <si>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</si>
  <si>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</si>
  <si>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</si>
  <si>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</si>
  <si>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</si>
  <si>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</si>
  <si>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</si>
  <si>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</si>
  <si>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</si>
  <si>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</si>
  <si>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</si>
  <si>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</si>
  <si>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</si>
  <si>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</si>
  <si>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</si>
  <si>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</si>
  <si>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</si>
  <si>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</si>
  <si>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</si>
  <si>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</si>
  <si>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</si>
  <si>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</si>
  <si>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</si>
  <si>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</si>
  <si>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</si>
  <si>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</si>
  <si>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</si>
  <si>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</si>
  <si>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</si>
  <si>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</si>
  <si>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</si>
  <si>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</si>
  <si>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</si>
  <si>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</si>
  <si>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</si>
  <si>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</si>
  <si>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</si>
  <si>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</si>
  <si>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</si>
  <si>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</si>
  <si>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</si>
  <si>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</si>
  <si>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</si>
  <si>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</si>
  <si>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</si>
  <si>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</si>
  <si>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</si>
  <si>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</si>
  <si>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</si>
  <si>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</si>
  <si>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</si>
  <si>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</si>
  <si>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</si>
  <si>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</si>
  <si>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</si>
  <si>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</si>
  <si>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</si>
  <si>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</si>
  <si>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</si>
  <si>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</si>
  <si>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</si>
  <si>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</si>
  <si>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</si>
  <si>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</si>
  <si>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</si>
  <si>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</si>
  <si>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</si>
  <si>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</si>
  <si>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</si>
  <si>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</si>
  <si>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</si>
  <si>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</si>
  <si>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</si>
  <si>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</si>
  <si>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</si>
  <si>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</si>
  <si>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</si>
  <si>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</si>
  <si>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</si>
  <si>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</si>
  <si>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</si>
  <si>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</si>
  <si>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</si>
  <si>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</si>
  <si>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</si>
  <si>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</si>
  <si>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</si>
  <si>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</si>
  <si>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</si>
  <si>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</si>
  <si>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</si>
  <si>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</si>
  <si>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</si>
  <si>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</si>
  <si>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</si>
  <si>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</si>
  <si>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</si>
  <si>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</si>
  <si>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</si>
  <si>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</si>
  <si>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</si>
  <si>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</si>
  <si>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</si>
  <si>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</si>
  <si>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</si>
  <si>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</si>
  <si>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</si>
  <si>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</si>
  <si>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</si>
  <si>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</si>
  <si>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</si>
  <si>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</si>
  <si>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</si>
  <si>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</si>
  <si>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</si>
  <si>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</si>
  <si>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</si>
  <si>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</si>
  <si>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</si>
  <si>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</si>
  <si>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</si>
  <si>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</si>
  <si>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</si>
  <si>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</si>
  <si>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</si>
  <si>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</si>
  <si>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</si>
  <si>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</si>
  <si>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</si>
  <si>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</si>
  <si>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</si>
  <si>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</si>
  <si>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</si>
  <si>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</si>
  <si>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</si>
  <si>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</si>
  <si>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</si>
  <si>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</si>
  <si>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</si>
  <si>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</si>
  <si>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</si>
  <si>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</si>
  <si>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</si>
  <si>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</si>
  <si>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</si>
  <si>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</si>
  <si>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</si>
  <si>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</si>
  <si>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</si>
  <si>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</si>
  <si>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</si>
  <si>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</si>
  <si>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</si>
  <si>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</si>
  <si>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</si>
  <si>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</si>
  <si>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</si>
  <si>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</si>
  <si>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</si>
  <si>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</si>
  <si>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</si>
  <si>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</si>
  <si>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</si>
  <si>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</si>
  <si>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</si>
  <si>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</si>
  <si>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</si>
  <si>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</si>
  <si>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</si>
  <si>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</si>
  <si>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</si>
  <si>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</si>
  <si>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</si>
  <si>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</si>
  <si>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</si>
  <si>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</si>
  <si>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</si>
  <si>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</si>
  <si>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</si>
  <si>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</si>
  <si>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</si>
  <si>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</si>
  <si>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</si>
  <si>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</si>
  <si>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</si>
  <si>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</si>
  <si>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</si>
  <si>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</si>
  <si>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</si>
  <si>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</si>
  <si>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</si>
  <si>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</si>
  <si>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</si>
  <si>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</si>
  <si>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</si>
  <si>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</si>
  <si>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</si>
  <si>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</si>
  <si>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</si>
  <si>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</si>
  <si>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</si>
  <si>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</si>
  <si>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</si>
  <si>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</si>
  <si>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</si>
  <si>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</si>
  <si>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</si>
  <si>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</si>
  <si>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</si>
  <si>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</si>
  <si>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</si>
  <si>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</si>
  <si>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</si>
  <si>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</si>
  <si>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</si>
  <si>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</si>
  <si>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</si>
  <si>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</si>
  <si>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</si>
  <si>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</si>
  <si>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</si>
  <si>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</si>
  <si>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</si>
  <si>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</si>
  <si>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</si>
  <si>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</si>
  <si>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</si>
  <si>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</si>
  <si>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</si>
  <si>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</si>
  <si>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</si>
  <si>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</si>
  <si>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</si>
  <si>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</si>
  <si>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</si>
  <si>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</si>
  <si>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</si>
  <si>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</si>
  <si>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</si>
  <si>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</si>
  <si>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</si>
  <si>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</si>
  <si>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</si>
  <si>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</si>
  <si>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</si>
  <si>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</si>
  <si>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</si>
  <si>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</si>
  <si>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</si>
  <si>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</si>
  <si>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</si>
  <si>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</si>
  <si>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</si>
  <si>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</si>
  <si>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</si>
  <si>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</si>
  <si>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</si>
  <si>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</si>
  <si>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</si>
  <si>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</si>
  <si>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</si>
  <si>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</si>
  <si>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</si>
  <si>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</si>
  <si>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</si>
  <si>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</si>
  <si>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</si>
  <si>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</si>
  <si>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</si>
  <si>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</si>
  <si>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</si>
  <si>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</si>
  <si>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</si>
  <si>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</si>
  <si>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</si>
  <si>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</si>
  <si>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</si>
  <si>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</si>
  <si>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</si>
  <si>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</si>
  <si>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</si>
  <si>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</si>
  <si>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</si>
  <si>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</si>
  <si>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</si>
  <si>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</si>
  <si>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</si>
  <si>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</si>
  <si>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</si>
  <si>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</si>
  <si>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</si>
  <si>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</si>
  <si>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</si>
  <si>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</si>
  <si>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</si>
  <si>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</si>
  <si>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</si>
  <si>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</si>
  <si>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</si>
  <si>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</si>
  <si>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</si>
  <si>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</si>
  <si>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</si>
  <si>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</si>
  <si>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</si>
  <si>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</si>
  <si>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</si>
  <si>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</si>
  <si>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</si>
  <si>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</si>
  <si>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</si>
  <si>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</si>
  <si>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</si>
  <si>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</si>
  <si>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</si>
  <si>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</si>
  <si>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</si>
  <si>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</si>
  <si>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</si>
  <si>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</si>
  <si>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</si>
  <si>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</si>
  <si>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</si>
  <si>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</si>
  <si>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</si>
  <si>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</si>
  <si>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</si>
  <si>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</si>
  <si>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</si>
  <si>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</si>
  <si>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</si>
  <si>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</si>
  <si>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</si>
  <si>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</si>
  <si>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</si>
  <si>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</si>
  <si>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</si>
  <si>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</si>
  <si>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</si>
  <si>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</si>
  <si>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</si>
  <si>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</si>
  <si>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</si>
  <si>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</si>
  <si>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</si>
  <si>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</si>
  <si>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</si>
  <si>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</si>
  <si>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</si>
  <si>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</si>
  <si>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</si>
  <si>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</si>
  <si>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</si>
  <si>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</si>
  <si>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</si>
  <si>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</si>
  <si>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</si>
  <si>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</si>
  <si>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</si>
  <si>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</si>
  <si>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</si>
  <si>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</si>
  <si>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</si>
  <si>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</si>
  <si>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</si>
  <si>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</si>
  <si>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</si>
  <si>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</si>
  <si>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</si>
  <si>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</si>
  <si>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</si>
  <si>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</si>
  <si>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</si>
  <si>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</si>
  <si>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</si>
  <si>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</si>
  <si>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</si>
  <si>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</si>
  <si>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</si>
  <si>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</si>
  <si>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</si>
  <si>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</si>
  <si>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</si>
  <si>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</si>
  <si>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</si>
  <si>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</si>
  <si>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</si>
  <si>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</si>
  <si>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</si>
  <si>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</si>
  <si>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</si>
  <si>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</si>
  <si>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</si>
  <si>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</si>
  <si>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</si>
  <si>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</si>
  <si>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</si>
  <si>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</si>
  <si>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</si>
  <si>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</si>
  <si>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</si>
  <si>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</si>
  <si>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</si>
  <si>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</si>
  <si>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</si>
  <si>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</si>
  <si>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</si>
  <si>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</si>
  <si>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</si>
  <si>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</si>
  <si>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</si>
  <si>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</si>
  <si>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</si>
  <si>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</si>
  <si>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</si>
  <si>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</si>
  <si>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</si>
  <si>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</si>
  <si>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</si>
  <si>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</si>
  <si>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</si>
  <si>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</si>
  <si>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</si>
  <si>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</si>
  <si>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</si>
  <si>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</si>
  <si>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</si>
  <si>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</si>
  <si>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</si>
  <si>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</si>
  <si>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</si>
  <si>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</si>
  <si>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</si>
  <si>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</si>
  <si>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</si>
  <si>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</si>
  <si>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</si>
  <si>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</si>
  <si>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</si>
  <si>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</si>
  <si>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</si>
  <si>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</si>
  <si>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</si>
  <si>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</si>
  <si>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</si>
  <si>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</si>
  <si>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</si>
  <si>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</si>
  <si>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</si>
  <si>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</si>
  <si>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</si>
  <si>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</si>
  <si>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</si>
  <si>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</si>
  <si>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</si>
  <si>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</si>
  <si>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</si>
  <si>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</si>
  <si>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</si>
  <si>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</si>
  <si>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</si>
  <si>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</si>
  <si>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</si>
  <si>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</si>
  <si>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</si>
  <si>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</si>
  <si>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</si>
  <si>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</si>
  <si>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</si>
  <si>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</si>
  <si>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</si>
  <si>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</si>
  <si>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</si>
  <si>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</si>
  <si>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</si>
  <si>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</si>
  <si>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</si>
  <si>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</si>
  <si>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</si>
  <si>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</si>
  <si>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</si>
  <si>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</si>
  <si>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</si>
  <si>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</si>
  <si>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</si>
  <si>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</si>
  <si>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</si>
  <si>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</si>
  <si>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</si>
  <si>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</si>
  <si>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</si>
  <si>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</si>
  <si>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</si>
  <si>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</si>
  <si>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</si>
  <si>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</si>
  <si>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</si>
  <si>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</si>
  <si>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</si>
  <si>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</si>
  <si>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</si>
  <si>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</si>
  <si>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</si>
  <si>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</si>
  <si>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</si>
  <si>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</si>
  <si>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</si>
  <si>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</si>
  <si>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</si>
  <si>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</si>
  <si>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</si>
  <si>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</si>
  <si>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</si>
  <si>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</si>
  <si>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</si>
  <si>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</si>
  <si>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</si>
  <si>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</si>
  <si>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</si>
  <si>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</si>
  <si>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</si>
  <si>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</si>
  <si>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</si>
  <si>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</si>
  <si>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</si>
  <si>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</si>
  <si>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</si>
  <si>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</si>
  <si>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</si>
  <si>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</si>
  <si>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</si>
  <si>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</si>
  <si>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</si>
  <si>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</si>
  <si>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</si>
  <si>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</si>
  <si>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</si>
  <si>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</si>
  <si>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</si>
  <si>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</si>
  <si>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</si>
  <si>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</si>
  <si>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</si>
  <si>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</si>
  <si>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</si>
  <si>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</si>
  <si>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</si>
  <si>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</si>
  <si>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</si>
  <si>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</si>
  <si>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</si>
  <si>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</si>
  <si>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</si>
  <si>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</si>
  <si>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</si>
  <si>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</si>
  <si>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</si>
  <si>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</si>
  <si>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</si>
  <si>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</si>
  <si>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</si>
  <si>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</si>
  <si>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</si>
  <si>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</si>
  <si>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</si>
  <si>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</si>
  <si>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</si>
  <si>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</si>
  <si>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</si>
  <si>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</si>
  <si>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</si>
  <si>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</si>
  <si>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</si>
  <si>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</si>
  <si>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</si>
  <si>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</si>
  <si>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</si>
  <si>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</si>
  <si>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</si>
  <si>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</si>
  <si>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</si>
  <si>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</si>
  <si>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</si>
  <si>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</si>
  <si>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</si>
  <si>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</si>
  <si>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</si>
  <si>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</si>
  <si>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</si>
  <si>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</si>
  <si>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</si>
  <si>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</si>
  <si>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</si>
  <si>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</si>
  <si>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</si>
  <si>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</si>
  <si>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</si>
  <si>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</si>
  <si>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</si>
  <si>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</si>
  <si>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</si>
  <si>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</si>
  <si>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</si>
  <si>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</si>
  <si>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</si>
  <si>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</si>
  <si>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</si>
  <si>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</si>
  <si>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</si>
  <si>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</si>
  <si>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</si>
  <si>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</si>
  <si>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</si>
  <si>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</si>
  <si>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</si>
  <si>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</si>
  <si>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</si>
  <si>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</si>
  <si>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</si>
  <si>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</si>
  <si>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</si>
  <si>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</si>
  <si>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</si>
  <si>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</si>
  <si>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</si>
  <si>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</si>
  <si>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</si>
  <si>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</si>
  <si>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</si>
  <si>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</si>
  <si>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</si>
  <si>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</si>
  <si>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</si>
  <si>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</si>
  <si>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</si>
  <si>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</si>
  <si>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</si>
  <si>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</si>
  <si>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</si>
  <si>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</si>
  <si>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</si>
  <si>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</si>
  <si>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</si>
  <si>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</si>
  <si>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</si>
  <si>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</si>
  <si>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</si>
  <si>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</si>
  <si>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</si>
  <si>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</si>
  <si>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</si>
  <si>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</si>
  <si>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</si>
  <si>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</si>
  <si>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</si>
  <si>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</si>
  <si>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</si>
  <si>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</si>
  <si>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</si>
  <si>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</si>
  <si>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</si>
  <si>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</si>
  <si>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</si>
  <si>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</si>
  <si>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</si>
  <si>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</si>
  <si>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</si>
  <si>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</si>
  <si>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</si>
  <si>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</si>
  <si>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</si>
  <si>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</si>
  <si>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</si>
  <si>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</si>
  <si>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</si>
  <si>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</si>
  <si>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</si>
  <si>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</si>
  <si>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</si>
  <si>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</si>
  <si>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</si>
  <si>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</si>
  <si>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</si>
  <si>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</si>
  <si>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</si>
  <si>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</si>
  <si>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</si>
  <si>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</si>
  <si>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</si>
  <si>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</si>
  <si>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</si>
  <si>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</si>
  <si>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</si>
  <si>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</si>
  <si>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</si>
  <si>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</si>
  <si>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</si>
  <si>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</si>
  <si>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</si>
  <si>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</si>
  <si>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</si>
  <si>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</si>
  <si>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</si>
  <si>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</si>
  <si>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</si>
  <si>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</si>
  <si>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</si>
  <si>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</si>
  <si>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</si>
  <si>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</si>
  <si>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</si>
  <si>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</si>
  <si>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</si>
  <si>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</si>
  <si>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</si>
  <si>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</si>
  <si>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</si>
  <si>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</si>
  <si>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</si>
  <si>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</si>
  <si>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</si>
  <si>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</si>
  <si>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</si>
  <si>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</si>
  <si>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</si>
  <si>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</si>
  <si>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</si>
  <si>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</si>
  <si>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</si>
  <si>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</si>
  <si>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</si>
  <si>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</si>
  <si>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</si>
  <si>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</si>
  <si>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</si>
  <si>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</si>
  <si>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</si>
  <si>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</si>
  <si>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</si>
  <si>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</si>
  <si>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</si>
  <si>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</si>
  <si>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</si>
  <si>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</si>
  <si>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</si>
  <si>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</si>
  <si>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</si>
  <si>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</si>
  <si>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</si>
  <si>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</si>
  <si>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</si>
  <si>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</si>
  <si>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</si>
  <si>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</si>
  <si>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</si>
  <si>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</si>
  <si>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</si>
  <si>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</si>
  <si>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</si>
  <si>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</si>
  <si>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</si>
  <si>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</si>
  <si>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</si>
  <si>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</si>
  <si>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</si>
  <si>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</si>
  <si>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</si>
  <si>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</si>
  <si>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</si>
  <si>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</si>
  <si>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</si>
  <si>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</si>
  <si>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</si>
  <si>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</si>
  <si>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</si>
  <si>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</si>
  <si>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</si>
  <si>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</si>
  <si>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</si>
  <si>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</si>
  <si>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</si>
  <si>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</si>
  <si>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</si>
  <si>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</si>
  <si>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</si>
  <si>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</si>
  <si>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</si>
  <si>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</si>
  <si>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</si>
  <si>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</si>
  <si>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</si>
  <si>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</si>
  <si>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</si>
  <si>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</si>
  <si>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</si>
  <si>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</si>
  <si>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</si>
  <si>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</si>
  <si>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</si>
  <si>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</si>
  <si>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</si>
  <si>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</si>
  <si>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</si>
  <si>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</si>
  <si>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</si>
  <si>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</si>
  <si>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</si>
  <si>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</si>
  <si>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</si>
  <si>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</si>
  <si>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</si>
  <si>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</si>
  <si>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</si>
  <si>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</si>
  <si>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</si>
  <si>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</si>
  <si>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</si>
  <si>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</si>
  <si>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</si>
  <si>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</si>
  <si>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</si>
  <si>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</si>
  <si>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</si>
  <si>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</si>
  <si>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</si>
  <si>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</si>
  <si>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</si>
  <si>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</si>
  <si>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</si>
  <si>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</si>
  <si>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</si>
  <si>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</si>
  <si>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</si>
  <si>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</si>
  <si>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</si>
  <si>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</si>
  <si>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</si>
  <si>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</si>
  <si>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</si>
  <si>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</si>
  <si>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</si>
  <si>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</si>
  <si>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</si>
  <si>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</si>
  <si>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</si>
  <si>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</si>
  <si>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</si>
  <si>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</si>
  <si>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</si>
  <si>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</si>
  <si>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</si>
  <si>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</si>
  <si>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</si>
  <si>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</si>
  <si>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</si>
  <si>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</si>
  <si>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</si>
  <si>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</si>
  <si>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</si>
  <si>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</si>
  <si>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</si>
  <si>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</si>
  <si>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</si>
  <si>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</si>
  <si>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</si>
  <si>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</si>
  <si>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</si>
  <si>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</si>
  <si>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</si>
  <si>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</si>
  <si>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</si>
  <si>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</si>
  <si>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</si>
  <si>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</si>
  <si>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</si>
  <si>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</si>
  <si>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</si>
  <si>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</si>
  <si>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</si>
  <si>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</si>
  <si>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</si>
  <si>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</si>
  <si>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</si>
  <si>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</si>
  <si>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</si>
  <si>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</si>
  <si>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</si>
  <si>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</si>
  <si>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</si>
  <si>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</si>
  <si>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</si>
  <si>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</si>
  <si>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</si>
  <si>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</si>
  <si>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</si>
  <si>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</si>
  <si>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</si>
  <si>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</si>
  <si>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</si>
  <si>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</si>
  <si>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</si>
  <si>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</si>
  <si>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</si>
  <si>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</si>
  <si>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</si>
  <si>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</si>
  <si>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</si>
  <si>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</si>
  <si>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</si>
  <si>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</si>
  <si>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</si>
  <si>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</si>
  <si>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</si>
  <si>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</si>
  <si>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</si>
  <si>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</si>
  <si>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</si>
  <si>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</si>
  <si>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</si>
  <si>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</si>
  <si>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</si>
  <si>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</si>
  <si>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</si>
  <si>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</si>
  <si>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</si>
  <si>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</si>
  <si>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</si>
  <si>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</si>
  <si>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</si>
  <si>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</si>
  <si>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</si>
  <si>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</si>
  <si>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</si>
  <si>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</si>
  <si>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</si>
  <si>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</si>
  <si>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</si>
  <si>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</si>
  <si>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</si>
  <si>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</si>
  <si>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</si>
  <si>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</si>
  <si>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</si>
  <si>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</si>
  <si>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</si>
  <si>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</si>
  <si>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</si>
  <si>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</si>
  <si>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</si>
  <si>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</si>
  <si>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</si>
  <si>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</si>
  <si>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</si>
  <si>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</si>
  <si>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</si>
  <si>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</si>
  <si>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</si>
  <si>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</si>
  <si>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</si>
  <si>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</si>
  <si>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</si>
  <si>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</si>
  <si>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</si>
  <si>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</si>
  <si>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</si>
  <si>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</si>
  <si>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</si>
  <si>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</si>
  <si>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</si>
  <si>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</si>
  <si>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</si>
  <si>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</si>
  <si>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</si>
  <si>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</si>
  <si>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</si>
  <si>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</si>
  <si>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</si>
  <si>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</si>
  <si>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</si>
  <si>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</si>
  <si>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</si>
  <si>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</si>
  <si>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</si>
  <si>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</si>
  <si>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</si>
  <si>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</si>
  <si>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</si>
  <si>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</si>
  <si>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</si>
  <si>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</si>
  <si>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</si>
  <si>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</si>
  <si>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</si>
  <si>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</si>
  <si>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</si>
  <si>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</si>
  <si>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</si>
  <si>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</si>
  <si>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</si>
  <si>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</si>
  <si>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</si>
  <si>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</si>
  <si>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</si>
  <si>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</si>
  <si>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</si>
  <si>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</si>
  <si>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</si>
  <si>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</si>
  <si>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</si>
  <si>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</si>
  <si>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</si>
  <si>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</si>
  <si>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</si>
  <si>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</si>
  <si>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</si>
  <si>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</si>
  <si>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</si>
  <si>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</si>
  <si>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</si>
  <si>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</si>
  <si>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</si>
  <si>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</si>
  <si>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</si>
  <si>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</si>
  <si>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</si>
  <si>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</si>
  <si>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</si>
  <si>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</si>
  <si>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</si>
  <si>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</si>
  <si>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</si>
  <si>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</si>
  <si>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</si>
  <si>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</si>
  <si>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</si>
  <si>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</si>
  <si>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</si>
  <si>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</si>
  <si>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</si>
  <si>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</si>
  <si>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</si>
  <si>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</si>
  <si>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</si>
  <si>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</si>
  <si>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</si>
  <si>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</si>
  <si>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</si>
  <si>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</si>
  <si>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</si>
  <si>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</si>
  <si>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</si>
  <si>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</si>
  <si>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</si>
  <si>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</si>
  <si>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</si>
  <si>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</si>
  <si>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</si>
  <si>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</si>
  <si>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</si>
  <si>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</si>
  <si>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</si>
  <si>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</si>
  <si>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</si>
  <si>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</si>
  <si>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</si>
  <si>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</si>
  <si>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</si>
  <si>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</si>
  <si>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</si>
  <si>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</si>
  <si>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</si>
  <si>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</si>
  <si>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</si>
  <si>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</si>
  <si>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</si>
  <si>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</si>
  <si>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</si>
  <si>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</si>
  <si>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</si>
  <si>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</si>
  <si>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</si>
  <si>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</si>
  <si>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</si>
  <si>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</si>
  <si>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</si>
  <si>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</si>
  <si>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</si>
  <si>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</si>
  <si>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</si>
  <si>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</si>
  <si>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</si>
  <si>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</si>
  <si>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</si>
  <si>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</si>
  <si>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</si>
  <si>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</si>
  <si>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</si>
  <si>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</si>
  <si>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</si>
  <si>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</si>
  <si>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</si>
  <si>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</si>
  <si>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</si>
  <si>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</si>
  <si>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</si>
  <si>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</si>
  <si>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</si>
  <si>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</si>
  <si>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</si>
  <si>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</si>
  <si>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</si>
  <si>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</si>
  <si>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</si>
  <si>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</si>
  <si>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</si>
  <si>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</si>
  <si>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</si>
  <si>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</si>
  <si>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</si>
  <si>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</si>
  <si>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</si>
  <si>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</si>
  <si>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</si>
  <si>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</si>
  <si>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</si>
  <si>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</si>
  <si>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</si>
  <si>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</si>
  <si>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</si>
  <si>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</si>
  <si>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</si>
  <si>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</si>
  <si>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</si>
  <si>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</si>
  <si>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</si>
  <si>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</si>
  <si>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</si>
  <si>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</si>
  <si>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</si>
  <si>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</si>
  <si>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</si>
  <si>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</si>
  <si>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</si>
  <si>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</si>
  <si>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</si>
  <si>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</si>
  <si>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</si>
  <si>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</si>
  <si>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</si>
  <si>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</si>
  <si>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</si>
  <si>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</si>
  <si>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</si>
  <si>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</si>
  <si>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</si>
  <si>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</si>
  <si>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</si>
  <si>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</si>
  <si>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</si>
  <si>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</si>
  <si>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</si>
  <si>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</si>
  <si>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</si>
  <si>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</si>
  <si>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</si>
  <si>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</si>
  <si>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</si>
  <si>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</si>
  <si>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</si>
  <si>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</si>
  <si>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</si>
  <si>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</si>
  <si>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</si>
  <si>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</si>
  <si>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</si>
  <si>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</si>
  <si>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</si>
  <si>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</si>
  <si>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</si>
  <si>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</si>
  <si>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</si>
  <si>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</si>
  <si>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</si>
  <si>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</si>
  <si>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</si>
  <si>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</si>
  <si>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</si>
  <si>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</si>
  <si>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</si>
  <si>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</si>
  <si>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</si>
  <si>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</si>
  <si>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</si>
  <si>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</si>
  <si>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</si>
  <si>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</si>
  <si>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</si>
  <si>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</si>
  <si>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</si>
  <si>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</si>
  <si>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</si>
  <si>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</si>
  <si>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</si>
  <si>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</si>
  <si>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</si>
  <si>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</si>
  <si>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</si>
  <si>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</si>
  <si>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</si>
  <si>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</si>
  <si>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</si>
  <si>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</si>
  <si>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</si>
  <si>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</si>
  <si>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</si>
  <si>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</si>
  <si>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</si>
  <si>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</si>
  <si>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</si>
  <si>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</si>
  <si>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</si>
  <si>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</si>
  <si>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</si>
  <si>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</si>
  <si>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</si>
  <si>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</si>
  <si>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</si>
  <si>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</si>
  <si>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</si>
  <si>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</si>
  <si>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</si>
  <si>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</si>
  <si>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</si>
  <si>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</si>
  <si>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</si>
  <si>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</si>
  <si>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</si>
  <si>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</si>
  <si>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</si>
  <si>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</si>
  <si>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</si>
  <si>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</si>
  <si>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</si>
  <si>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</si>
  <si>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</si>
  <si>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</si>
  <si>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</si>
  <si>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</si>
  <si>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</si>
  <si>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</si>
  <si>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</si>
  <si>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</si>
  <si>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</si>
  <si>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</si>
  <si>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</si>
  <si>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</si>
  <si>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</si>
  <si>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</si>
  <si>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</si>
  <si>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</si>
  <si>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</si>
  <si>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</si>
  <si>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</si>
  <si>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</si>
  <si>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</si>
  <si>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</si>
  <si>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</si>
  <si>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</si>
  <si>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</si>
  <si>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</si>
  <si>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</si>
  <si>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</si>
  <si>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</si>
  <si>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</si>
  <si>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</si>
  <si>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</si>
  <si>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</si>
  <si>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</si>
  <si>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</si>
  <si>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</si>
  <si>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</si>
  <si>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</si>
  <si>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</si>
  <si>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</si>
  <si>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</si>
  <si>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</si>
  <si>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</si>
  <si>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</si>
  <si>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</si>
  <si>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</si>
  <si>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</si>
  <si>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</si>
  <si>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</si>
  <si>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</si>
  <si>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</si>
  <si>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</si>
  <si>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</si>
  <si>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</si>
  <si>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</si>
  <si>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</si>
  <si>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</si>
  <si>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</si>
  <si>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</si>
  <si>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</si>
  <si>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</si>
  <si>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</si>
  <si>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</si>
  <si>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</si>
  <si>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</si>
  <si>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</si>
  <si>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</si>
  <si>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</si>
  <si>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</si>
  <si>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</si>
  <si>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</si>
  <si>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</si>
  <si>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</si>
  <si>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</si>
  <si>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</si>
  <si>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</si>
  <si>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</si>
  <si>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</si>
  <si>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</si>
  <si>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</si>
  <si>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</si>
  <si>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</si>
  <si>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</si>
  <si>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</si>
  <si>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</si>
  <si>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</si>
  <si>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</si>
  <si>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</si>
  <si>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</si>
  <si>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</si>
  <si>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</si>
  <si>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</si>
  <si>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</si>
  <si>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</si>
  <si>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</si>
  <si>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</si>
  <si>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</si>
  <si>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</si>
  <si>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</si>
  <si>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</si>
  <si>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</si>
  <si>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</si>
  <si>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</si>
  <si>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</si>
  <si>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</si>
  <si>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</si>
  <si>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</si>
  <si>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</si>
  <si>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</si>
  <si>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</si>
  <si>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</si>
  <si>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</si>
  <si>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</si>
  <si>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</si>
  <si>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</si>
  <si>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</si>
  <si>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</si>
  <si>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</si>
  <si>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</si>
  <si>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</si>
  <si>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</si>
  <si>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</si>
  <si>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</si>
  <si>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</si>
  <si>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</si>
  <si>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</si>
  <si>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</si>
  <si>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</si>
  <si>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</si>
  <si>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</si>
  <si>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</si>
  <si>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</si>
  <si>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</si>
  <si>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</si>
  <si>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</si>
  <si>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</si>
  <si>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</si>
  <si>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</si>
  <si>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</si>
  <si>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</si>
  <si>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</si>
  <si>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</si>
  <si>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</si>
  <si>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</si>
  <si>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</si>
  <si>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</si>
  <si>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</si>
  <si>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</si>
  <si>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</si>
  <si>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</si>
  <si>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</si>
  <si>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</si>
  <si>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</si>
  <si>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</si>
  <si>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</si>
  <si>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</si>
  <si>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</si>
  <si>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</si>
  <si>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</si>
  <si>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</si>
  <si>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</si>
  <si>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</si>
  <si>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</si>
  <si>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</si>
  <si>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</si>
  <si>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</si>
  <si>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</si>
  <si>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</si>
  <si>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</si>
  <si>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</si>
  <si>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</si>
  <si>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</si>
  <si>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</si>
  <si>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</si>
  <si>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</si>
  <si>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</si>
  <si>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</si>
  <si>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</si>
  <si>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</si>
  <si>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</si>
  <si>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</si>
  <si>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</si>
  <si>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</si>
  <si>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</si>
  <si>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</si>
  <si>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</si>
  <si>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</si>
  <si>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</si>
  <si>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</si>
  <si>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</si>
  <si>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</si>
  <si>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</si>
  <si>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</si>
  <si>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</si>
  <si>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</si>
  <si>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</si>
  <si>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</si>
  <si>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</si>
  <si>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</si>
  <si>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</si>
  <si>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</si>
  <si>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</si>
  <si>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</si>
  <si>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</si>
  <si>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</si>
  <si>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</si>
  <si>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</si>
  <si>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</si>
  <si>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</si>
  <si>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</si>
  <si>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</si>
  <si>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</si>
  <si>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</si>
  <si>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</si>
  <si>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</si>
  <si>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</si>
  <si>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</si>
  <si>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</si>
  <si>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</si>
  <si>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</si>
  <si>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</si>
  <si>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</si>
  <si>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</si>
  <si>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</si>
  <si>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</si>
  <si>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</si>
  <si>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</si>
  <si>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</si>
  <si>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</si>
  <si>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</si>
  <si>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</si>
  <si>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</si>
  <si>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</si>
  <si>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</si>
  <si>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</si>
  <si>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</si>
  <si>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</si>
  <si>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</si>
  <si>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</si>
  <si>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</si>
  <si>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</si>
  <si>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</si>
  <si>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</si>
  <si>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</si>
  <si>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</si>
  <si>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</si>
  <si>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</si>
  <si>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</si>
  <si>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</si>
  <si>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</si>
  <si>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</si>
  <si>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</si>
  <si>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</si>
  <si>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</si>
  <si>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</si>
  <si>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</si>
  <si>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</si>
  <si>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</si>
  <si>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</si>
  <si>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</si>
  <si>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</si>
  <si>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</si>
  <si>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</si>
  <si>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</si>
  <si>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</si>
  <si>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</si>
  <si>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</si>
  <si>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</si>
  <si>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</si>
  <si>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</si>
  <si>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</si>
  <si>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</si>
  <si>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</si>
  <si>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</si>
  <si>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</si>
  <si>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</si>
  <si>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</si>
  <si>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</si>
  <si>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</si>
  <si>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</si>
  <si>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</si>
  <si>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</si>
  <si>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</si>
  <si>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</si>
  <si>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</si>
  <si>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</si>
  <si>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</si>
  <si>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</si>
  <si>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</si>
  <si>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</si>
  <si>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</si>
  <si>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</si>
  <si>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</si>
  <si>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</si>
  <si>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</si>
  <si>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</si>
  <si>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</si>
  <si>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</si>
  <si>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</si>
  <si>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</si>
  <si>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</si>
  <si>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</si>
  <si>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</si>
  <si>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</si>
  <si>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</si>
  <si>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</si>
  <si>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</si>
  <si>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</si>
  <si>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</si>
  <si>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</si>
  <si>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</si>
  <si>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</si>
  <si>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</si>
  <si>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</si>
  <si>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</si>
  <si>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</si>
  <si>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</si>
  <si>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</si>
  <si>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</si>
  <si>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</si>
  <si>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</si>
  <si>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</si>
  <si>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</si>
  <si>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</si>
  <si>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</si>
  <si>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</si>
  <si>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</si>
  <si>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</si>
  <si>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</si>
  <si>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</si>
  <si>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</si>
  <si>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</si>
  <si>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</si>
  <si>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</si>
  <si>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</si>
  <si>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</si>
  <si>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</si>
  <si>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</si>
  <si>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</si>
  <si>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</si>
  <si>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</si>
  <si>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</si>
  <si>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</si>
  <si>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</si>
  <si>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</si>
  <si>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</si>
  <si>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</si>
  <si>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</si>
  <si>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</si>
  <si>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</si>
  <si>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</si>
  <si>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</si>
  <si>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</si>
  <si>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</si>
  <si>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</si>
  <si>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</si>
  <si>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</si>
  <si>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</si>
  <si>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</si>
  <si>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</si>
  <si>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</si>
  <si>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</si>
  <si>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</si>
  <si>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</si>
  <si>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</si>
  <si>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</si>
  <si>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</si>
  <si>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</si>
  <si>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</si>
  <si>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</si>
  <si>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</si>
  <si>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</si>
  <si>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</si>
  <si>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</si>
  <si>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</si>
  <si>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</si>
  <si>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</si>
  <si>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</si>
  <si>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</si>
  <si>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</si>
  <si>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</si>
  <si>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</si>
  <si>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</si>
  <si>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</si>
  <si>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</si>
  <si>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</si>
  <si>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</si>
  <si>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</si>
  <si>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</si>
  <si>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</si>
  <si>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</si>
  <si>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</si>
  <si>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</si>
  <si>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</si>
  <si>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</si>
  <si>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</si>
  <si>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</si>
  <si>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</si>
  <si>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</si>
  <si>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</si>
  <si>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</si>
  <si>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</si>
  <si>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</si>
  <si>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</si>
  <si>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</si>
  <si>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</si>
  <si>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</si>
  <si>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</si>
  <si>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</si>
  <si>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</si>
  <si>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</si>
  <si>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</si>
  <si>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</si>
  <si>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</si>
  <si>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</si>
  <si>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</si>
  <si>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</si>
  <si>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</si>
  <si>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</si>
  <si>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</si>
  <si>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</si>
  <si>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</si>
  <si>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</si>
  <si>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</si>
  <si>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</si>
  <si>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</si>
  <si>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</si>
  <si>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</si>
  <si>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</si>
  <si>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</si>
  <si>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</si>
  <si>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</si>
  <si>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</si>
  <si>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</si>
  <si>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</si>
  <si>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</si>
  <si>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</si>
  <si>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</si>
  <si>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</si>
  <si>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</si>
  <si>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</si>
  <si>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</si>
  <si>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</si>
  <si>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</si>
  <si>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</si>
  <si>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</si>
  <si>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</si>
  <si>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</si>
  <si>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</si>
  <si>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</si>
  <si>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</si>
  <si>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</si>
  <si>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</si>
  <si>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</si>
  <si>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</si>
  <si>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</si>
  <si>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</si>
  <si>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</si>
  <si>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</si>
  <si>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</si>
  <si>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</si>
  <si>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</si>
  <si>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</si>
  <si>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</si>
  <si>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</si>
  <si>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</si>
  <si>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</si>
  <si>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</si>
  <si>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</si>
  <si>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</si>
  <si>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</si>
  <si>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</si>
  <si>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</si>
  <si>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</si>
  <si>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</si>
  <si>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</si>
  <si>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</si>
  <si>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</si>
  <si>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</si>
  <si>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</si>
  <si>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</si>
  <si>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</si>
  <si>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</si>
  <si>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</si>
  <si>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</si>
  <si>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</si>
  <si>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</si>
  <si>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</si>
  <si>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</si>
  <si>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</si>
  <si>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</si>
  <si>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</si>
  <si>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</si>
  <si>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</si>
  <si>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</si>
  <si>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</si>
  <si>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</si>
  <si>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</si>
  <si>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</si>
  <si>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</si>
  <si>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</si>
  <si>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</si>
  <si>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</si>
  <si>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</si>
  <si>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</si>
  <si>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</si>
  <si>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</si>
  <si>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</si>
  <si>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</si>
  <si>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</si>
  <si>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</si>
  <si>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</si>
  <si>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</si>
  <si>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</si>
  <si>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</si>
  <si>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</si>
  <si>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</si>
  <si>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</si>
  <si>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</si>
  <si>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</si>
  <si>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</si>
  <si>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</si>
  <si>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</si>
  <si>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</si>
  <si>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</si>
  <si>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</si>
  <si>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</si>
  <si>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</si>
  <si>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</si>
  <si>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</si>
  <si>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</si>
  <si>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</si>
  <si>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</si>
  <si>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</si>
  <si>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</si>
  <si>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</si>
  <si>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</si>
  <si>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</si>
  <si>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</si>
  <si>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</si>
  <si>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</si>
  <si>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</si>
  <si>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</si>
  <si>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</si>
  <si>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</si>
  <si>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</si>
  <si>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</si>
  <si>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</si>
  <si>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</si>
  <si>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</si>
  <si>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</si>
  <si>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</si>
  <si>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</si>
  <si>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</si>
  <si>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</si>
  <si>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</si>
  <si>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</si>
  <si>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</si>
  <si>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</si>
  <si>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</si>
  <si>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</si>
  <si>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</si>
  <si>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</si>
  <si>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</si>
  <si>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</si>
  <si>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</si>
  <si>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</si>
  <si>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</si>
  <si>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</si>
  <si>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</si>
  <si>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</si>
  <si>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</si>
  <si>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</si>
  <si>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</si>
  <si>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</si>
  <si>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</si>
  <si>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</si>
  <si>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</si>
  <si>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</si>
  <si>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</si>
  <si>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</si>
  <si>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</si>
  <si>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</si>
  <si>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</si>
  <si>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</si>
  <si>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</si>
  <si>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</si>
  <si>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</si>
  <si>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</si>
  <si>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</si>
  <si>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</si>
  <si>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</si>
  <si>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</si>
  <si>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</si>
  <si>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</si>
  <si>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</si>
  <si>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</si>
  <si>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</si>
  <si>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</si>
  <si>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</si>
  <si>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</si>
  <si>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</si>
  <si>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</si>
  <si>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</si>
  <si>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</si>
  <si>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</si>
  <si>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</si>
  <si>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</si>
  <si>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</si>
  <si>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</si>
  <si>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</si>
  <si>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</si>
  <si>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</si>
  <si>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</si>
  <si>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</si>
  <si>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</si>
  <si>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</si>
  <si>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</si>
  <si>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</si>
  <si>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</si>
  <si>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</si>
  <si>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</si>
  <si>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</si>
  <si>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</si>
  <si>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</si>
  <si>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</si>
  <si>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</si>
  <si>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</si>
  <si>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</si>
  <si>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</si>
  <si>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</si>
  <si>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</si>
  <si>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</si>
  <si>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</si>
  <si>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</si>
  <si>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</si>
  <si>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</si>
  <si>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</si>
  <si>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</si>
  <si>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</si>
  <si>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</si>
  <si>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</si>
  <si>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</si>
  <si>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</si>
  <si>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</si>
  <si>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</si>
  <si>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</si>
  <si>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</si>
  <si>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</si>
  <si>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</si>
  <si>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</si>
  <si>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</si>
  <si>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</si>
  <si>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</si>
  <si>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</si>
  <si>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</si>
  <si>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</si>
  <si>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</si>
  <si>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</si>
  <si>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</si>
  <si>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</si>
  <si>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</si>
  <si>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</si>
  <si>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</si>
  <si>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</si>
  <si>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</si>
  <si>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</si>
  <si>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</si>
  <si>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</si>
  <si>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</si>
  <si>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</si>
  <si>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</si>
  <si>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</si>
  <si>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</si>
  <si>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</si>
  <si>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</si>
  <si>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</si>
  <si>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</si>
  <si>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</si>
  <si>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</si>
  <si>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</si>
  <si>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</si>
  <si>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</si>
  <si>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</si>
  <si>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</si>
  <si>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</si>
  <si>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</si>
  <si>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</si>
  <si>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</si>
  <si>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</si>
  <si>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</si>
  <si>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</si>
  <si>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</si>
  <si>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</si>
  <si>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</si>
  <si>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</si>
  <si>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</si>
  <si>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</si>
  <si>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</si>
  <si>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</si>
  <si>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</si>
  <si>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</si>
  <si>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</si>
  <si>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</si>
  <si>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</si>
  <si>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</si>
  <si>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</si>
  <si>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</si>
  <si>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</si>
  <si>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</si>
  <si>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</si>
  <si>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</si>
  <si>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</si>
  <si>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</si>
  <si>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</si>
  <si>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</si>
  <si>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</si>
  <si>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</si>
  <si>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</si>
  <si>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</si>
  <si>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</si>
  <si>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</si>
  <si>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</si>
  <si>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</si>
  <si>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</si>
  <si>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</si>
  <si>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</si>
  <si>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</si>
  <si>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</si>
  <si>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</si>
  <si>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</si>
  <si>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</si>
  <si>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</si>
  <si>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</si>
  <si>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</si>
  <si>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</si>
  <si>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</si>
  <si>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</si>
  <si>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</si>
  <si>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</si>
  <si>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</si>
  <si>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</si>
  <si>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</si>
  <si>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</si>
  <si>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</si>
  <si>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</si>
  <si>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</si>
  <si>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</si>
  <si>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</si>
  <si>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</si>
  <si>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</si>
  <si>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</si>
  <si>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</si>
  <si>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</si>
  <si>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</si>
  <si>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</si>
  <si>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</si>
  <si>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</si>
  <si>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</si>
  <si>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</si>
  <si>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</si>
  <si>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</si>
  <si>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</si>
  <si>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</si>
  <si>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</si>
  <si>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</si>
  <si>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</si>
  <si>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</si>
  <si>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</si>
  <si>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</si>
  <si>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</si>
  <si>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</si>
  <si>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</si>
  <si>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</si>
  <si>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</si>
  <si>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</si>
  <si>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</si>
  <si>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</si>
  <si>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</si>
  <si>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</si>
  <si>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</si>
  <si>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</si>
  <si>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</si>
  <si>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</si>
  <si>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</si>
  <si>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</si>
  <si>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</si>
  <si>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</si>
  <si>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</si>
  <si>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</si>
  <si>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</si>
  <si>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</si>
  <si>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</si>
  <si>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</si>
  <si>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</si>
  <si>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</si>
  <si>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</si>
  <si>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</si>
  <si>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</si>
  <si>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</si>
  <si>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</si>
  <si>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</si>
  <si>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</si>
  <si>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</si>
  <si>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</si>
  <si>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</si>
  <si>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</si>
  <si>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</si>
  <si>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</si>
  <si>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</si>
  <si>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</si>
  <si>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</si>
  <si>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</si>
  <si>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</si>
  <si>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</si>
  <si>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</si>
  <si>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</si>
  <si>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</si>
  <si>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</si>
  <si>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</si>
  <si>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</si>
  <si>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</si>
  <si>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</si>
  <si>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</si>
  <si>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</si>
  <si>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</si>
  <si>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</si>
  <si>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</si>
  <si>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</si>
  <si>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</si>
  <si>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</si>
  <si>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</si>
  <si>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</si>
  <si>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</si>
  <si>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</si>
  <si>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</si>
  <si>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</si>
  <si>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</si>
  <si>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</si>
  <si>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</si>
  <si>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</si>
  <si>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</si>
  <si>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</si>
  <si>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</si>
  <si>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</si>
  <si>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</si>
  <si>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</si>
  <si>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</si>
  <si>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</si>
  <si>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</si>
  <si>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</si>
  <si>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</si>
  <si>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</si>
  <si>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</si>
  <si>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</si>
  <si>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</si>
  <si>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</si>
  <si>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</si>
  <si>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</si>
  <si>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</si>
  <si>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</si>
  <si>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</si>
  <si>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</si>
  <si>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</si>
  <si>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</si>
  <si>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</si>
  <si>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</si>
  <si>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</si>
  <si>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</si>
  <si>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</si>
  <si>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</si>
  <si>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</si>
  <si>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</si>
  <si>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</si>
  <si>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</si>
  <si>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</si>
  <si>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</si>
  <si>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</si>
  <si>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</si>
  <si>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</si>
  <si>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</si>
  <si>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</si>
  <si>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</si>
  <si>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</si>
  <si>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</si>
  <si>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</si>
  <si>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</si>
  <si>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</si>
  <si>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</si>
  <si>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</si>
  <si>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</si>
  <si>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</si>
  <si>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</si>
  <si>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</si>
  <si>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</si>
  <si>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</si>
  <si>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</si>
  <si>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</si>
  <si>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</si>
  <si>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</si>
  <si>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</si>
  <si>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</si>
  <si>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</si>
  <si>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</si>
  <si>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</si>
  <si>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</si>
  <si>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</si>
  <si>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</si>
  <si>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</si>
  <si>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</si>
  <si>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</si>
  <si>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</si>
  <si>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</si>
  <si>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</si>
  <si>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</si>
  <si>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</si>
  <si>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</si>
  <si>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</si>
  <si>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</si>
  <si>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</si>
  <si>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</si>
  <si>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</si>
  <si>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</si>
  <si>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</si>
  <si>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</si>
  <si>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</si>
  <si>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</si>
  <si>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</si>
  <si>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</si>
  <si>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</si>
  <si>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</si>
  <si>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</si>
  <si>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</si>
  <si>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</si>
  <si>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</si>
  <si>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</si>
  <si>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</si>
  <si>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</si>
  <si>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</si>
  <si>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</si>
  <si>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</si>
  <si>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</si>
  <si>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</si>
  <si>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</si>
  <si>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</si>
  <si>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</si>
  <si>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</si>
  <si>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</si>
  <si>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</si>
  <si>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</si>
  <si>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</si>
  <si>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</si>
  <si>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</si>
  <si>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</si>
  <si>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</si>
  <si>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</si>
  <si>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</si>
  <si>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</si>
  <si>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</si>
  <si>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</si>
  <si>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</si>
  <si>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</si>
  <si>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</si>
  <si>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</si>
  <si>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</si>
  <si>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</si>
  <si>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</si>
  <si>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</si>
  <si>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</si>
  <si>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</si>
  <si>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</si>
  <si>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</si>
  <si>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</si>
  <si>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</si>
  <si>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</si>
  <si>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</si>
  <si>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</si>
  <si>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</si>
  <si>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</si>
  <si>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</si>
  <si>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</si>
  <si>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</si>
  <si>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</si>
  <si>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</si>
  <si>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</si>
  <si>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</si>
  <si>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</si>
  <si>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</si>
  <si>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</si>
  <si>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</si>
  <si>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</si>
  <si>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</si>
  <si>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</si>
  <si>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</si>
  <si>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</si>
  <si>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</si>
  <si>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</si>
  <si>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</si>
  <si>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</si>
  <si>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</si>
  <si>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</si>
  <si>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</si>
  <si>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</si>
  <si>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</si>
  <si>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</si>
  <si>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</si>
  <si>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</si>
  <si>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</si>
  <si>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</si>
  <si>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</si>
  <si>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</si>
  <si>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</si>
  <si>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</si>
  <si>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</si>
  <si>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</si>
  <si>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</si>
  <si>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</si>
  <si>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</si>
  <si>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</si>
  <si>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</si>
  <si>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</si>
  <si>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</si>
  <si>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</si>
  <si>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</si>
  <si>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</si>
  <si>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</si>
  <si>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</si>
  <si>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</si>
  <si>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</si>
  <si>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</si>
  <si>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</si>
  <si>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</si>
  <si>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</si>
  <si>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</si>
  <si>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</si>
  <si>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</si>
  <si>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</si>
  <si>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</si>
  <si>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</si>
  <si>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</si>
  <si>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</si>
  <si>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</si>
  <si>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</si>
  <si>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</si>
  <si>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</si>
  <si>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</si>
  <si>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</si>
  <si>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</si>
  <si>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</si>
  <si>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</si>
  <si>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</si>
  <si>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</si>
  <si>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</si>
  <si>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</si>
  <si>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</si>
  <si>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</si>
  <si>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</si>
  <si>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</si>
  <si>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</si>
  <si>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</si>
  <si>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</si>
  <si>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</si>
  <si>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</si>
  <si>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</si>
  <si>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</si>
  <si>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</si>
  <si>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</si>
  <si>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</si>
  <si>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</si>
  <si>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</si>
  <si>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</si>
  <si>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</si>
  <si>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</si>
  <si>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</si>
  <si>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</si>
  <si>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</si>
  <si>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</si>
  <si>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</si>
  <si>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</si>
  <si>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</si>
  <si>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</si>
  <si>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</si>
  <si>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</si>
  <si>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</si>
  <si>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</si>
  <si>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</si>
  <si>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</si>
  <si>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</si>
  <si>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</si>
  <si>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</si>
  <si>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</si>
  <si>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</si>
  <si>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</si>
  <si>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</si>
  <si>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</si>
  <si>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</si>
  <si>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</si>
  <si>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</si>
  <si>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</si>
  <si>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</si>
  <si>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</si>
  <si>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</si>
  <si>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</si>
  <si>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</si>
  <si>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</si>
  <si>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</si>
  <si>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</si>
  <si>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</si>
  <si>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</si>
  <si>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</si>
  <si>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</si>
  <si>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</si>
  <si>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</si>
  <si>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</si>
  <si>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</si>
  <si>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</si>
  <si>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</si>
  <si>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</si>
  <si>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</si>
  <si>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</si>
  <si>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</si>
  <si>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</si>
  <si>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</si>
  <si>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</si>
  <si>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</si>
  <si>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</si>
  <si>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</si>
  <si>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</si>
  <si>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</si>
  <si>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</si>
  <si>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</si>
  <si>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</si>
  <si>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</si>
  <si>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</si>
  <si>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</si>
  <si>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</si>
  <si>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</si>
  <si>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</si>
  <si>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</si>
  <si>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</si>
  <si>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</si>
  <si>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</si>
  <si>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</si>
  <si>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</si>
  <si>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</si>
  <si>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</si>
  <si>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</si>
  <si>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</si>
  <si>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</si>
  <si>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</si>
  <si>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</si>
  <si>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</si>
  <si>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</si>
  <si>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</si>
  <si>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</si>
  <si>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</si>
  <si>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</si>
  <si>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</si>
  <si>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</si>
  <si>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</si>
  <si>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</si>
  <si>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</si>
  <si>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</si>
  <si>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</si>
  <si>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</si>
  <si>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</si>
  <si>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</si>
  <si>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</si>
  <si>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</si>
  <si>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</si>
  <si>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</si>
  <si>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</si>
  <si>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</si>
  <si>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</si>
  <si>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</si>
  <si>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</si>
  <si>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</si>
  <si>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</si>
  <si>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</si>
  <si>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</si>
  <si>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</si>
  <si>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</si>
  <si>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</si>
  <si>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</si>
  <si>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</si>
  <si>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</si>
  <si>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</si>
  <si>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</si>
  <si>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</si>
  <si>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</si>
  <si>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</si>
  <si>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</si>
  <si>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</si>
  <si>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</si>
  <si>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</si>
  <si>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</si>
  <si>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</si>
  <si>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</si>
  <si>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</si>
  <si>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</si>
  <si>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</si>
  <si>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</si>
  <si>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</si>
  <si>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</si>
  <si>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</si>
  <si>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</si>
  <si>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</si>
  <si>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</si>
  <si>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</si>
  <si>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</si>
  <si>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</si>
  <si>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</si>
  <si>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</si>
  <si>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</si>
  <si>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</si>
  <si>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</si>
  <si>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</si>
  <si>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</si>
  <si>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</si>
  <si>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</si>
  <si>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</si>
  <si>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</si>
  <si>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</si>
  <si>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</si>
  <si>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</si>
  <si>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</si>
  <si>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</si>
  <si>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</si>
  <si>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</si>
  <si>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</si>
  <si>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</si>
  <si>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</si>
  <si>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</si>
  <si>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</si>
  <si>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</si>
  <si>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</si>
  <si>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</si>
  <si>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</si>
  <si>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</si>
  <si>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</si>
  <si>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</si>
  <si>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</si>
  <si>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</si>
  <si>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</si>
  <si>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</si>
  <si>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</si>
  <si>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</si>
  <si>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</si>
  <si>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</si>
  <si>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</si>
  <si>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</si>
  <si>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</si>
  <si>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</si>
  <si>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</si>
  <si>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</si>
  <si>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</si>
  <si>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</si>
  <si>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</si>
  <si>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</si>
  <si>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</si>
  <si>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</si>
  <si>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</si>
  <si>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</si>
  <si>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</si>
  <si>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</si>
  <si>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</si>
  <si>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</si>
  <si>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</si>
  <si>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</si>
  <si>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</si>
  <si>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</si>
  <si>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</si>
  <si>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</si>
  <si>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</si>
  <si>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</si>
  <si>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</si>
  <si>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</si>
  <si>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</si>
  <si>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</si>
  <si>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</si>
  <si>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</si>
  <si>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</si>
  <si>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</si>
  <si>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</si>
  <si>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</si>
  <si>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</si>
  <si>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</si>
  <si>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</si>
  <si>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</si>
  <si>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</si>
  <si>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</si>
  <si>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</si>
  <si>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</si>
  <si>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</si>
  <si>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</si>
  <si>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</si>
  <si>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</si>
  <si>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</si>
  <si>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</si>
  <si>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</si>
  <si>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</si>
  <si>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</si>
  <si>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</si>
  <si>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</si>
  <si>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</si>
  <si>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</si>
  <si>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</si>
  <si>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</si>
  <si>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</si>
  <si>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</si>
  <si>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</si>
  <si>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</si>
  <si>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</si>
  <si>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</si>
  <si>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</si>
  <si>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</si>
  <si>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</si>
  <si>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</si>
  <si>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</si>
  <si>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</si>
  <si>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</si>
  <si>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</si>
  <si>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</si>
  <si>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</si>
  <si>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</si>
  <si>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</si>
  <si>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</si>
  <si>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</si>
  <si>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</si>
  <si>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</si>
  <si>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</si>
  <si>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</si>
  <si>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</si>
  <si>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</si>
  <si>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</si>
  <si>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</si>
  <si>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</si>
  <si>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</si>
  <si>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</si>
  <si>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</si>
  <si>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</si>
  <si>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</si>
  <si>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</si>
  <si>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</si>
  <si>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</si>
  <si>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</si>
  <si>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</si>
  <si>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</si>
  <si>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</si>
  <si>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</si>
  <si>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</si>
  <si>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</si>
  <si>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</si>
  <si>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</si>
  <si>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</si>
  <si>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</si>
  <si>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</si>
  <si>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</si>
  <si>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</si>
  <si>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</si>
  <si>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</si>
  <si>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</si>
  <si>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</si>
  <si>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</si>
  <si>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</si>
  <si>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</si>
  <si>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</si>
  <si>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</si>
  <si>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</si>
  <si>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</si>
  <si>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</si>
  <si>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</si>
  <si>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</si>
  <si>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</si>
  <si>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</si>
  <si>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</si>
  <si>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</si>
  <si>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</si>
  <si>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</si>
  <si>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</si>
  <si>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</si>
  <si>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</si>
  <si>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</si>
  <si>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</si>
  <si>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</si>
  <si>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</si>
  <si>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</si>
  <si>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</si>
  <si>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</si>
  <si>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</si>
  <si>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</si>
  <si>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</si>
  <si>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</si>
  <si>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</si>
  <si>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</si>
  <si>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</si>
  <si>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</si>
  <si>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</si>
  <si>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</si>
  <si>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</si>
  <si>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</si>
  <si>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</si>
  <si>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</si>
  <si>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</si>
  <si>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</si>
  <si>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</si>
  <si>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</si>
  <si>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</si>
  <si>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</si>
  <si>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</si>
  <si>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</si>
  <si>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</si>
  <si>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</si>
  <si>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</si>
  <si>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</si>
  <si>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</si>
  <si>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</si>
  <si>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</si>
  <si>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</si>
  <si>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</si>
  <si>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</si>
  <si>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</si>
  <si>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</si>
  <si>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</si>
  <si>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</si>
  <si>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</si>
  <si>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</si>
  <si>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</si>
  <si>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</si>
  <si>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</si>
  <si>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</si>
  <si>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</si>
  <si>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</si>
  <si>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</si>
  <si>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</si>
  <si>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</si>
  <si>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</si>
  <si>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</si>
  <si>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</si>
  <si>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</si>
  <si>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</si>
  <si>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</si>
  <si>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</si>
  <si>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</si>
  <si>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</si>
  <si>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</si>
  <si>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</si>
  <si>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</si>
  <si>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</si>
  <si>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</si>
  <si>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</si>
  <si>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</si>
  <si>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</si>
  <si>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</si>
  <si>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</si>
  <si>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</si>
  <si>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</si>
  <si>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</si>
  <si>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</si>
  <si>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</si>
  <si>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</si>
  <si>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</si>
  <si>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</si>
  <si>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</si>
  <si>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</si>
  <si>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</si>
  <si>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</si>
  <si>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</si>
  <si>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</si>
  <si>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</si>
  <si>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</si>
  <si>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</si>
  <si>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</si>
  <si>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</si>
  <si>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</si>
  <si>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</si>
  <si>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</si>
  <si>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</si>
  <si>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</si>
  <si>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</si>
  <si>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</si>
  <si>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</si>
  <si>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</si>
  <si>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</si>
  <si>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</si>
  <si>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</si>
  <si>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</si>
  <si>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</si>
  <si>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</si>
  <si>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</si>
  <si>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</si>
  <si>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</si>
  <si>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</si>
  <si>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</si>
  <si>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</si>
  <si>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</si>
  <si>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</si>
  <si>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</si>
  <si>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</si>
  <si>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</si>
  <si>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</si>
  <si>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</si>
  <si>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</si>
  <si>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</si>
  <si>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</si>
  <si>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</si>
  <si>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</si>
  <si>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</si>
  <si>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</si>
  <si>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</si>
  <si>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</si>
  <si>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</si>
  <si>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</si>
  <si>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</si>
  <si>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</si>
  <si>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</si>
  <si>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</si>
  <si>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</si>
  <si>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</si>
  <si>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</si>
  <si>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</si>
  <si>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</si>
  <si>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</si>
  <si>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</si>
  <si>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</si>
  <si>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</si>
  <si>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</si>
  <si>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</si>
  <si>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</si>
  <si>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</si>
  <si>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</si>
  <si>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</si>
  <si>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</si>
  <si>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</si>
  <si>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</si>
  <si>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</si>
  <si>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</si>
  <si>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</si>
  <si>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</si>
  <si>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</si>
  <si>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</si>
  <si>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</si>
  <si>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</si>
  <si>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</si>
  <si>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</si>
  <si>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</si>
  <si>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</si>
  <si>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</si>
  <si>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</si>
  <si>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</si>
  <si>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</si>
  <si>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</si>
  <si>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</si>
  <si>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</si>
  <si>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</si>
  <si>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</si>
  <si>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</si>
  <si>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</si>
  <si>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</si>
  <si>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</si>
  <si>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</si>
  <si>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</si>
  <si>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</si>
  <si>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</si>
  <si>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</si>
  <si>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</si>
  <si>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</si>
  <si>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</si>
  <si>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</si>
  <si>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</si>
  <si>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</si>
  <si>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</si>
  <si>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</si>
  <si>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</si>
  <si>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</si>
  <si>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</si>
  <si>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</si>
  <si>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</si>
  <si>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</si>
  <si>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</si>
  <si>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</si>
  <si>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</si>
  <si>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</si>
  <si>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</si>
  <si>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</si>
  <si>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</si>
  <si>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</si>
  <si>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</si>
  <si>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</si>
  <si>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</si>
  <si>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</si>
  <si>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</si>
  <si>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</si>
  <si>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</si>
  <si>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</si>
  <si>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</si>
  <si>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</si>
  <si>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</si>
  <si>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</si>
  <si>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</si>
  <si>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</si>
  <si>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</si>
  <si>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</si>
  <si>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</si>
  <si>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</si>
  <si>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</si>
  <si>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</si>
  <si>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</si>
  <si>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</si>
  <si>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</si>
  <si>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</si>
  <si>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</si>
  <si>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</si>
  <si>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</si>
  <si>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</si>
  <si>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</si>
  <si>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</si>
  <si>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</si>
  <si>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</si>
  <si>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</si>
  <si>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</si>
  <si>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</si>
  <si>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</si>
  <si>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</si>
  <si>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</si>
  <si>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</si>
  <si>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</si>
  <si>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</si>
  <si>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</si>
  <si>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</si>
  <si>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</si>
  <si>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</si>
  <si>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</si>
  <si>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</si>
  <si>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</si>
  <si>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</si>
  <si>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</si>
  <si>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</si>
  <si>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</si>
  <si>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</si>
  <si>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</si>
  <si>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</si>
  <si>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</si>
  <si>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</si>
  <si>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</si>
  <si>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</si>
  <si>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</si>
  <si>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</si>
  <si>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</si>
  <si>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</si>
  <si>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</si>
  <si>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</si>
  <si>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</si>
  <si>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</si>
  <si>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</si>
  <si>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</si>
  <si>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</si>
  <si>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</si>
  <si>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</si>
  <si>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</si>
  <si>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</si>
  <si>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</si>
  <si>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</si>
  <si>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</si>
  <si>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</si>
  <si>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</si>
  <si>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</si>
  <si>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</si>
  <si>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</si>
  <si>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</si>
  <si>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</si>
  <si>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</si>
  <si>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</si>
  <si>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</si>
  <si>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</si>
  <si>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</si>
  <si>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</si>
  <si>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</si>
  <si>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</si>
  <si>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</si>
  <si>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</si>
  <si>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</si>
  <si>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</si>
  <si>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</si>
  <si>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</si>
  <si>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</si>
  <si>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</si>
  <si>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</si>
  <si>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</si>
  <si>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</si>
  <si>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</si>
  <si>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</si>
  <si>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</si>
  <si>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</si>
  <si>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</si>
  <si>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</si>
  <si>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</si>
  <si>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</si>
  <si>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</si>
  <si>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</si>
  <si>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</si>
  <si>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</si>
  <si>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</si>
  <si>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</si>
  <si>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</si>
  <si>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</si>
  <si>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</si>
  <si>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</si>
  <si>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</si>
  <si>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</si>
  <si>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</si>
  <si>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</si>
  <si>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</si>
  <si>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</si>
  <si>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</si>
  <si>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</si>
  <si>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</si>
  <si>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</si>
  <si>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</si>
  <si>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</si>
  <si>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</si>
  <si>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</si>
  <si>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</si>
  <si>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</si>
  <si>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</si>
  <si>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</si>
  <si>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</si>
  <si>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</si>
  <si>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</si>
  <si>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</si>
  <si>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</si>
  <si>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</si>
  <si>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</si>
  <si>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</si>
  <si>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</si>
  <si>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</si>
  <si>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</si>
  <si>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</si>
  <si>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</si>
  <si>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</si>
  <si>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</si>
  <si>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</si>
  <si>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</si>
  <si>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</si>
  <si>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</si>
  <si>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</si>
  <si>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</si>
  <si>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</si>
  <si>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</si>
  <si>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</si>
  <si>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</si>
  <si>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</si>
  <si>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</si>
  <si>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</si>
  <si>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</si>
  <si>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</si>
  <si>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</si>
  <si>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</si>
  <si>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</si>
  <si>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</si>
  <si>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</si>
  <si>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</si>
  <si>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</si>
  <si>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</si>
  <si>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</si>
  <si>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</si>
  <si>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</si>
  <si>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</si>
  <si>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</si>
  <si>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</si>
  <si>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</si>
  <si>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</si>
  <si>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</si>
  <si>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</si>
  <si>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</si>
  <si>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</si>
  <si>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</si>
  <si>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</si>
  <si>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</si>
  <si>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</si>
  <si>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</si>
  <si>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</si>
  <si>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</si>
  <si>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</si>
  <si>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</si>
  <si>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</si>
  <si>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</si>
  <si>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</si>
  <si>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</si>
  <si>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</si>
  <si>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</si>
  <si>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</si>
  <si>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</si>
  <si>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</si>
  <si>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</si>
  <si>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</si>
  <si>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</si>
  <si>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</si>
  <si>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</si>
  <si>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</si>
  <si>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</si>
  <si>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</si>
  <si>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</si>
  <si>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</si>
  <si>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</si>
  <si>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</si>
  <si>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</si>
  <si>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</si>
  <si>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</si>
  <si>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</si>
  <si>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</si>
  <si>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</si>
  <si>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</si>
  <si>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</si>
  <si>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</si>
  <si>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</si>
  <si>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</si>
  <si>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</si>
  <si>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</si>
  <si>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</si>
  <si>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</si>
  <si>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</si>
  <si>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</si>
  <si>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</si>
  <si>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</si>
  <si>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</si>
  <si>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</si>
  <si>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</si>
  <si>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</si>
  <si>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</si>
  <si>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</si>
  <si>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</si>
  <si>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</si>
  <si>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</si>
  <si>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</si>
  <si>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</si>
  <si>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</si>
  <si>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</si>
  <si>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</si>
  <si>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</si>
  <si>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</si>
  <si>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</si>
  <si>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</si>
  <si>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</si>
  <si>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</si>
  <si>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</si>
  <si>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</si>
  <si>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</si>
  <si>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</si>
  <si>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</si>
  <si>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</si>
  <si>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</si>
  <si>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</si>
  <si>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</si>
  <si>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</si>
  <si>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</si>
  <si>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</si>
  <si>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</si>
  <si>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</si>
  <si>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</si>
  <si>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</si>
  <si>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</si>
  <si>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</si>
  <si>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</si>
  <si>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</si>
  <si>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</si>
  <si>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</si>
  <si>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</si>
  <si>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</si>
  <si>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</si>
  <si>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</si>
  <si>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</si>
  <si>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</si>
  <si>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</si>
  <si>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</si>
  <si>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</si>
  <si>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</si>
  <si>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</si>
  <si>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</si>
  <si>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</si>
  <si>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</si>
  <si>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</si>
  <si>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</si>
  <si>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</si>
  <si>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</si>
  <si>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</si>
  <si>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</si>
  <si>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</si>
  <si>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</si>
  <si>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</si>
  <si>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</si>
  <si>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</si>
  <si>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</si>
  <si>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</si>
  <si>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</si>
  <si>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</si>
  <si>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</si>
  <si>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</si>
  <si>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</si>
  <si>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</si>
  <si>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</si>
  <si>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</si>
  <si>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</si>
  <si>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</si>
  <si>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</si>
  <si>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</si>
  <si>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</si>
  <si>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</si>
  <si>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</si>
  <si>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</si>
  <si>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</si>
  <si>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</si>
  <si>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</si>
  <si>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</si>
  <si>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</si>
  <si>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</si>
  <si>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</si>
  <si>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</si>
  <si>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</si>
  <si>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</si>
  <si>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</si>
  <si>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</si>
  <si>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</si>
  <si>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</si>
  <si>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</si>
  <si>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</si>
  <si>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</si>
  <si>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</si>
  <si>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</si>
  <si>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</si>
  <si>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</si>
  <si>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</si>
  <si>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</si>
  <si>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</si>
  <si>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</si>
  <si>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</si>
  <si>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</si>
  <si>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</si>
  <si>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</si>
  <si>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</si>
  <si>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</si>
  <si>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</si>
  <si>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</si>
  <si>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</si>
  <si>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</si>
  <si>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</si>
  <si>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</si>
  <si>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</si>
  <si>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</si>
  <si>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</si>
  <si>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</si>
  <si>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</si>
  <si>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</si>
  <si>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</si>
  <si>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</si>
  <si>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</si>
  <si>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</si>
  <si>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</si>
  <si>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</si>
  <si>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</si>
  <si>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</si>
  <si>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</si>
  <si>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</si>
  <si>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</si>
  <si>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</si>
  <si>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</si>
  <si>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</si>
  <si>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</si>
  <si>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</si>
  <si>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</si>
  <si>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</si>
  <si>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</si>
  <si>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</si>
  <si>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</si>
  <si>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</si>
  <si>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</si>
  <si>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</si>
  <si>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</si>
  <si>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</si>
  <si>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</si>
  <si>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</si>
  <si>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</si>
  <si>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</si>
  <si>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</si>
  <si>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</si>
  <si>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</si>
  <si>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</si>
  <si>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</si>
  <si>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</si>
  <si>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</si>
  <si>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</si>
  <si>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</si>
  <si>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</si>
  <si>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</si>
  <si>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</si>
  <si>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</si>
  <si>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</si>
  <si>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</si>
  <si>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</si>
  <si>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</si>
  <si>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</si>
  <si>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</si>
  <si>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</si>
  <si>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</si>
  <si>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</si>
  <si>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</si>
  <si>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</si>
  <si>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</si>
  <si>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</si>
  <si>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</si>
  <si>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</si>
  <si>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</si>
  <si>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</si>
  <si>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</si>
  <si>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</si>
  <si>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</si>
  <si>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</si>
  <si>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</si>
  <si>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</si>
  <si>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</si>
  <si>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</si>
  <si>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</si>
  <si>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</si>
  <si>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</si>
  <si>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</si>
  <si>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</si>
  <si>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</si>
  <si>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</si>
  <si>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</si>
  <si>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</si>
  <si>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</si>
  <si>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</si>
  <si>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</si>
  <si>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</si>
  <si>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</si>
  <si>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</si>
  <si>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</si>
  <si>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</si>
  <si>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</si>
  <si>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</si>
  <si>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</si>
  <si>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</si>
  <si>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</si>
  <si>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</si>
  <si>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</si>
  <si>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</si>
  <si>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</si>
  <si>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</si>
  <si>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</si>
  <si>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</si>
  <si>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</si>
  <si>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</si>
  <si>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</si>
  <si>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</si>
  <si>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</si>
  <si>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</si>
  <si>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</si>
  <si>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</si>
  <si>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</si>
  <si>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</si>
  <si>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</si>
  <si>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</si>
  <si>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</si>
  <si>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</si>
  <si>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</si>
  <si>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</si>
  <si>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</si>
  <si>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</si>
  <si>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</si>
  <si>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</si>
  <si>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</si>
  <si>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</si>
  <si>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</si>
  <si>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</si>
  <si>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</si>
  <si>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</si>
  <si>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</si>
  <si>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</si>
  <si>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</si>
  <si>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</si>
  <si>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</si>
  <si>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</si>
  <si>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</si>
  <si>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</si>
  <si>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</si>
  <si>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</si>
  <si>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</si>
  <si>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</si>
  <si>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</si>
  <si>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</si>
  <si>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</si>
  <si>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</si>
  <si>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</si>
  <si>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</si>
  <si>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</si>
  <si>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</si>
  <si>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</si>
  <si>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</si>
  <si>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</si>
  <si>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</si>
  <si>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</si>
  <si>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</si>
  <si>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</si>
  <si>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</si>
  <si>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</si>
  <si>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</si>
  <si>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</si>
  <si>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</si>
  <si>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</si>
  <si>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</si>
  <si>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</si>
  <si>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</si>
  <si>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</si>
  <si>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</si>
  <si>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</si>
  <si>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</si>
  <si>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</si>
  <si>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</si>
  <si>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</si>
  <si>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</si>
  <si>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</si>
  <si>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</si>
  <si>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</si>
  <si>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</si>
  <si>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</si>
  <si>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</si>
  <si>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</si>
  <si>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</si>
  <si>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</si>
  <si>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</si>
  <si>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</si>
  <si>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</si>
  <si>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</si>
  <si>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</si>
  <si>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</si>
  <si>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</si>
  <si>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</si>
  <si>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</si>
  <si>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</si>
  <si>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</si>
  <si>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</si>
  <si>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</si>
  <si>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</si>
  <si>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</si>
  <si>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</si>
  <si>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</si>
  <si>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</si>
  <si>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</si>
  <si>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</si>
  <si>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</si>
  <si>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</si>
  <si>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</si>
  <si>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</si>
  <si>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</si>
  <si>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</si>
  <si>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</si>
  <si>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</si>
  <si>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</si>
  <si>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</si>
  <si>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</si>
  <si>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</si>
  <si>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</si>
  <si>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</si>
  <si>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</si>
  <si>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</si>
  <si>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</si>
  <si>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</si>
  <si>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</si>
  <si>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</si>
  <si>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</si>
  <si>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</si>
  <si>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</si>
  <si>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</si>
  <si>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</si>
  <si>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</si>
  <si>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</si>
  <si>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</si>
  <si>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</si>
  <si>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</si>
  <si>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</si>
  <si>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</si>
  <si>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</si>
  <si>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</si>
  <si>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</si>
  <si>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</si>
  <si>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</si>
  <si>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</si>
  <si>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</si>
  <si>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</si>
  <si>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</si>
  <si>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</si>
  <si>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</si>
  <si>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</si>
  <si>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</si>
  <si>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</si>
  <si>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</si>
  <si>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</si>
  <si>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</si>
  <si>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</si>
  <si>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</si>
  <si>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</si>
  <si>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</si>
  <si>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</si>
  <si>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</si>
  <si>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</si>
  <si>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</si>
  <si>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</si>
  <si>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</si>
  <si>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</si>
  <si>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</si>
  <si>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</si>
  <si>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</si>
  <si>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</si>
  <si>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</si>
  <si>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</si>
  <si>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</si>
  <si>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</si>
  <si>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</si>
  <si>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</si>
  <si>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</si>
  <si>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</si>
  <si>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</si>
  <si>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</si>
  <si>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</si>
  <si>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</si>
  <si>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</si>
  <si>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</si>
  <si>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</si>
  <si>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</si>
  <si>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</si>
  <si>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</si>
  <si>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</si>
  <si>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</si>
  <si>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</si>
  <si>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</si>
  <si>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</si>
  <si>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</si>
  <si>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</si>
  <si>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</si>
  <si>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</si>
  <si>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</si>
  <si>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</si>
  <si>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</si>
  <si>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</si>
  <si>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</si>
  <si>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</si>
  <si>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</si>
  <si>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</si>
  <si>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</si>
  <si>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</si>
  <si>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</si>
  <si>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</si>
  <si>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</si>
  <si>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</si>
  <si>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</si>
  <si>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</si>
  <si>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</si>
  <si>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</si>
  <si>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</si>
  <si>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</si>
  <si>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</si>
  <si>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</si>
  <si>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</si>
  <si>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</si>
  <si>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</si>
  <si>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</si>
  <si>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</si>
  <si>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</si>
  <si>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</si>
  <si>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</si>
  <si>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</si>
  <si>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</si>
  <si>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</si>
  <si>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</si>
  <si>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</si>
  <si>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</si>
  <si>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</si>
  <si>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</si>
  <si>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</si>
  <si>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</si>
  <si>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</si>
  <si>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</si>
  <si>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</si>
  <si>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</si>
  <si>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</si>
  <si>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</si>
  <si>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</si>
  <si>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</si>
  <si>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</si>
  <si>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</si>
  <si>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</si>
  <si>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</si>
  <si>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</si>
  <si>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</si>
  <si>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</si>
  <si>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</si>
  <si>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</si>
  <si>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</si>
  <si>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</si>
  <si>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</si>
  <si>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</si>
  <si>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</si>
  <si>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</si>
  <si>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</si>
  <si>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</si>
  <si>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</si>
  <si>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</si>
  <si>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</si>
  <si>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</si>
  <si>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</si>
  <si>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</si>
  <si>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</si>
  <si>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</si>
  <si>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</si>
  <si>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</si>
  <si>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</si>
  <si>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</si>
  <si>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</si>
  <si>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</si>
  <si>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</si>
  <si>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</si>
  <si>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</si>
  <si>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</si>
  <si>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</si>
  <si>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</si>
  <si>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</si>
  <si>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</si>
  <si>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</si>
  <si>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</si>
  <si>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</si>
  <si>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</si>
  <si>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</si>
  <si>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</si>
  <si>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</si>
  <si>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</si>
  <si>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</si>
  <si>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</si>
  <si>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</si>
  <si>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</si>
  <si>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</si>
  <si>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</si>
  <si>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</si>
  <si>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</si>
  <si>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</si>
  <si>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</si>
  <si>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</si>
  <si>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</si>
  <si>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</si>
  <si>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</si>
  <si>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</si>
  <si>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</si>
  <si>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</si>
  <si>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</si>
  <si>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</si>
  <si>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</si>
  <si>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</si>
  <si>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</si>
  <si>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</si>
  <si>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</si>
  <si>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</si>
  <si>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</si>
  <si>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</si>
  <si>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</si>
  <si>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</si>
  <si>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</si>
  <si>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</si>
  <si>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</si>
  <si>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</si>
  <si>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</si>
  <si>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</si>
  <si>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</si>
  <si>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</si>
  <si>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</si>
  <si>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</si>
  <si>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</si>
  <si>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</si>
  <si>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</si>
  <si>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</si>
  <si>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</si>
  <si>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</si>
  <si>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</si>
  <si>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</si>
  <si>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</si>
  <si>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</si>
  <si>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</si>
  <si>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</si>
  <si>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</si>
  <si>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</si>
  <si>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</si>
  <si>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</si>
  <si>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</si>
  <si>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</si>
  <si>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</si>
  <si>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</si>
  <si>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</si>
  <si>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</si>
  <si>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</si>
  <si>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</si>
  <si>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</si>
  <si>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</si>
  <si>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</si>
  <si>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</si>
  <si>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</si>
  <si>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</si>
  <si>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</si>
  <si>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</si>
  <si>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</si>
  <si>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</si>
  <si>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</si>
  <si>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</si>
  <si>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</si>
  <si>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</si>
  <si>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</si>
  <si>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</si>
  <si>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</si>
  <si>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</si>
  <si>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</si>
  <si>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</si>
  <si>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</si>
  <si>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</si>
  <si>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</si>
  <si>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</si>
  <si>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</si>
  <si>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</si>
  <si>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</si>
  <si>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</si>
  <si>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</si>
  <si>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</si>
  <si>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</si>
  <si>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</si>
  <si>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</si>
  <si>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</si>
  <si>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</si>
  <si>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</si>
  <si>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</si>
  <si>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</si>
  <si>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</si>
  <si>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</si>
  <si>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</si>
  <si>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</si>
  <si>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</si>
  <si>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</si>
  <si>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</si>
  <si>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</si>
  <si>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</si>
  <si>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</si>
  <si>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</si>
  <si>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</si>
  <si>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</si>
  <si>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</si>
  <si>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</si>
  <si>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</si>
  <si>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</si>
  <si>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</si>
  <si>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</si>
  <si>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</si>
  <si>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</si>
  <si>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</si>
  <si>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</si>
  <si>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</si>
  <si>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</si>
  <si>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</si>
  <si>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</si>
  <si>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</si>
  <si>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</si>
  <si>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</si>
  <si>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</si>
  <si>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</si>
  <si>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</si>
  <si>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</si>
  <si>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</si>
  <si>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</si>
  <si>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</si>
  <si>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</si>
  <si>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</si>
  <si>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</si>
  <si>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</si>
  <si>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</si>
  <si>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</si>
  <si>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</si>
  <si>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</si>
  <si>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</si>
  <si>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</si>
  <si>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</si>
  <si>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</si>
  <si>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</si>
  <si>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</si>
  <si>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</si>
  <si>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</si>
  <si>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</si>
  <si>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</si>
  <si>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</si>
  <si>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</si>
  <si>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</si>
  <si>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</si>
  <si>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</si>
  <si>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</si>
  <si>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</si>
  <si>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</si>
  <si>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</si>
  <si>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</si>
  <si>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</si>
  <si>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</si>
  <si>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</si>
  <si>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</si>
  <si>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</si>
  <si>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</si>
  <si>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</si>
  <si>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</si>
  <si>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</si>
  <si>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</si>
  <si>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</si>
  <si>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</si>
  <si>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</si>
  <si>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</si>
  <si>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</si>
  <si>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</si>
  <si>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</si>
  <si>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</si>
  <si>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</si>
  <si>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</si>
  <si>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</si>
  <si>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</si>
  <si>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</si>
  <si>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</si>
  <si>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</si>
  <si>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</si>
  <si>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</si>
  <si>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</si>
  <si>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</si>
  <si>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</si>
  <si>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</si>
  <si>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</si>
  <si>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</si>
  <si>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</si>
  <si>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</si>
  <si>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</si>
  <si>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</si>
  <si>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</si>
  <si>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</si>
  <si>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</si>
  <si>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</si>
  <si>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</si>
  <si>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</si>
  <si>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</si>
  <si>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</si>
  <si>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</si>
  <si>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</si>
  <si>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</si>
  <si>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</si>
  <si>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</si>
  <si>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</si>
  <si>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</si>
  <si>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</si>
  <si>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</si>
  <si>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</si>
  <si>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</si>
  <si>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</si>
  <si>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</si>
  <si>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</si>
  <si>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</si>
  <si>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</si>
  <si>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</si>
  <si>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</si>
  <si>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</si>
  <si>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</si>
  <si>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</si>
  <si>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</si>
  <si>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</si>
  <si>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</si>
  <si>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</si>
  <si>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</si>
  <si>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</si>
  <si>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</si>
  <si>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</si>
  <si>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</si>
  <si>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</si>
  <si>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</si>
  <si>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</si>
  <si>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</si>
  <si>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</si>
  <si>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</si>
  <si>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</si>
  <si>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</si>
  <si>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</si>
  <si>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</si>
  <si>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</si>
  <si>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</si>
  <si>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</si>
  <si>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</si>
  <si>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</si>
  <si>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</si>
  <si>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</si>
  <si>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</si>
  <si>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</si>
  <si>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</si>
  <si>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</si>
  <si>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</si>
  <si>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</si>
  <si>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</si>
  <si>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</si>
  <si>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</si>
  <si>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</si>
  <si>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</si>
  <si>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</si>
  <si>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</si>
  <si>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</si>
  <si>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</si>
  <si>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</si>
  <si>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</si>
  <si>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</si>
  <si>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</si>
  <si>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</si>
  <si>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</si>
  <si>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</si>
  <si>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</si>
  <si>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</si>
  <si>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</si>
  <si>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</si>
  <si>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</si>
  <si>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</si>
  <si>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</si>
  <si>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</si>
  <si>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</si>
  <si>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</si>
  <si>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</si>
  <si>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</si>
  <si>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</si>
  <si>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</si>
  <si>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</si>
  <si>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</si>
  <si>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</si>
  <si>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</si>
  <si>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</si>
  <si>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</si>
  <si>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</si>
  <si>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</si>
  <si>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</si>
  <si>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</si>
  <si>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</si>
  <si>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</si>
  <si>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</si>
  <si>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</si>
  <si>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</si>
  <si>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</si>
  <si>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</si>
  <si>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</si>
  <si>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</si>
  <si>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</si>
  <si>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</si>
  <si>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</si>
  <si>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</si>
  <si>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</si>
  <si>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</si>
  <si>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</si>
  <si>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</si>
  <si>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</si>
  <si>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</si>
  <si>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</si>
  <si>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</si>
  <si>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</si>
  <si>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</si>
  <si>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</si>
  <si>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</si>
  <si>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</si>
  <si>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</si>
  <si>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</si>
  <si>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</si>
  <si>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</si>
  <si>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</si>
  <si>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</si>
  <si>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</si>
  <si>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</si>
  <si>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</si>
  <si>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</si>
  <si>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</si>
  <si>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</si>
  <si>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</si>
  <si>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</si>
  <si>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</si>
  <si>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</si>
  <si>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</si>
  <si>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</si>
  <si>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</si>
  <si>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</si>
  <si>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</si>
  <si>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</si>
  <si>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</si>
  <si>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</si>
  <si>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</si>
  <si>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</si>
  <si>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</si>
  <si>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</si>
  <si>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</si>
  <si>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</si>
  <si>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</si>
  <si>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</si>
  <si>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</si>
  <si>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</si>
  <si>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</si>
  <si>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</si>
  <si>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</si>
  <si>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</si>
  <si>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</si>
  <si>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</si>
  <si>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</si>
  <si>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</si>
  <si>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</si>
  <si>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</si>
  <si>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</si>
  <si>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</si>
  <si>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</si>
  <si>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</si>
  <si>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</si>
  <si>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</si>
  <si>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</si>
  <si>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</si>
  <si>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</si>
  <si>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</si>
  <si>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</si>
  <si>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</si>
  <si>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</si>
  <si>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</si>
  <si>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</si>
  <si>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</si>
  <si>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</si>
  <si>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</si>
  <si>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</si>
  <si>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</si>
  <si>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</si>
  <si>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</si>
  <si>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</si>
  <si>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</si>
  <si>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</si>
  <si>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</si>
  <si>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</si>
  <si>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</si>
  <si>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</si>
  <si>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</si>
  <si>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</si>
  <si>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</si>
  <si>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</si>
  <si>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</si>
  <si>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</si>
  <si>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</si>
  <si>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</si>
  <si>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</si>
  <si>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</si>
  <si>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</si>
  <si>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</si>
  <si>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</si>
  <si>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</si>
  <si>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</si>
  <si>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</si>
  <si>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</si>
  <si>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</si>
  <si>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</si>
  <si>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</si>
  <si>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</si>
  <si>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</si>
  <si>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</si>
  <si>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</si>
  <si>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</si>
  <si>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</si>
  <si>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</si>
  <si>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</si>
  <si>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</si>
  <si>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</si>
  <si>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</si>
  <si>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</si>
  <si>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</si>
  <si>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</si>
  <si>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</si>
  <si>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</si>
  <si>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</si>
  <si>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</si>
  <si>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</si>
  <si>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</si>
  <si>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</si>
  <si>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</si>
  <si>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</si>
  <si>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</si>
  <si>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</si>
  <si>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</si>
  <si>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</si>
  <si>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</si>
  <si>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</si>
  <si>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</si>
  <si>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</si>
  <si>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</si>
  <si>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</si>
  <si>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</si>
  <si>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</si>
  <si>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</si>
  <si>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</si>
  <si>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</si>
  <si>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</si>
  <si>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</si>
  <si>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</si>
  <si>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</si>
  <si>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</si>
  <si>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</si>
  <si>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</si>
  <si>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</si>
  <si>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</si>
  <si>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</si>
  <si>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</si>
  <si>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</si>
  <si>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</si>
  <si>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</si>
  <si>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</si>
  <si>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</si>
  <si>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</si>
  <si>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</si>
  <si>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</si>
  <si>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</si>
  <si>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</si>
  <si>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</si>
  <si>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</si>
  <si>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</si>
  <si>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</si>
  <si>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</si>
  <si>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</si>
  <si>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</si>
  <si>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</si>
  <si>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</si>
  <si>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</si>
  <si>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</si>
  <si>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</si>
  <si>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</si>
  <si>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</si>
  <si>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</si>
  <si>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</si>
  <si>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</si>
  <si>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</si>
  <si>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</si>
  <si>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</si>
  <si>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</si>
  <si>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</si>
  <si>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</si>
  <si>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</si>
  <si>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</si>
  <si>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</si>
  <si>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</si>
  <si>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</si>
  <si>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</si>
  <si>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</si>
  <si>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</si>
  <si>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</si>
  <si>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</si>
  <si>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</si>
  <si>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</si>
  <si>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</si>
  <si>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</si>
  <si>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</si>
  <si>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</si>
  <si>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</si>
  <si>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</si>
  <si>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</si>
  <si>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</si>
  <si>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</si>
  <si>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</si>
  <si>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</si>
  <si>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</si>
  <si>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</si>
  <si>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</si>
  <si>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</si>
  <si>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</si>
  <si>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</si>
  <si>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</si>
  <si>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</si>
  <si>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</si>
  <si>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</si>
  <si>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</si>
  <si>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</si>
  <si>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</si>
  <si>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</si>
  <si>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</si>
  <si>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</si>
  <si>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</si>
  <si>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</si>
  <si>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</si>
  <si>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</si>
  <si>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</si>
  <si>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</si>
  <si>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</si>
  <si>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</si>
  <si>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</si>
  <si>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</si>
  <si>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</si>
  <si>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</si>
  <si>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</si>
  <si>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</si>
  <si>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</si>
  <si>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</si>
  <si>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</si>
  <si>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</si>
  <si>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</si>
  <si>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</si>
  <si>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</si>
  <si>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</si>
  <si>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</si>
  <si>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</si>
  <si>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</si>
  <si>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</si>
  <si>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</si>
  <si>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</si>
  <si>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</si>
  <si>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</si>
  <si>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</si>
  <si>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</si>
  <si>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</si>
  <si>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</si>
  <si>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</si>
  <si>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</si>
  <si>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</si>
  <si>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</si>
  <si>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</si>
  <si>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</si>
  <si>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</si>
  <si>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</si>
  <si>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</si>
  <si>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</si>
  <si>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</si>
  <si>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</si>
  <si>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</si>
  <si>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</si>
  <si>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</si>
  <si>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</si>
  <si>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</si>
  <si>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</si>
  <si>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</si>
  <si>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</si>
  <si>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</si>
  <si>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</si>
  <si>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</si>
  <si>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</si>
  <si>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</si>
  <si>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</si>
  <si>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</si>
  <si>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</si>
  <si>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</si>
  <si>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</si>
  <si>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</si>
  <si>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</si>
  <si>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</si>
  <si>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</si>
  <si>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</si>
  <si>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</si>
  <si>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</si>
  <si>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</si>
  <si>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</si>
  <si>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</si>
  <si>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</si>
  <si>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</si>
  <si>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</si>
  <si>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</si>
  <si>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</si>
  <si>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</si>
  <si>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</si>
  <si>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</si>
  <si>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</si>
  <si>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</si>
  <si>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</si>
  <si>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</si>
  <si>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</si>
  <si>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</si>
  <si>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</si>
  <si>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</si>
  <si>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</si>
  <si>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</si>
  <si>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</si>
  <si>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</si>
  <si>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</si>
  <si>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</si>
  <si>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</si>
  <si>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</si>
  <si>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</si>
  <si>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</si>
  <si>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</si>
  <si>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</si>
  <si>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</si>
  <si>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</si>
  <si>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</si>
  <si>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</si>
  <si>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</si>
  <si>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</si>
  <si>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</si>
  <si>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</si>
  <si>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</si>
  <si>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</si>
  <si>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</si>
  <si>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</si>
  <si>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</si>
  <si>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</si>
  <si>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</si>
  <si>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</si>
  <si>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</si>
  <si>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</si>
  <si>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</si>
  <si>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</si>
  <si>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</si>
  <si>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</si>
  <si>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</si>
  <si>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</si>
  <si>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</si>
  <si>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</si>
  <si>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</si>
  <si>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</si>
  <si>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</si>
  <si>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</si>
  <si>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</si>
  <si>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</si>
  <si>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</si>
  <si>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</si>
  <si>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</si>
  <si>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</si>
  <si>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</si>
  <si>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</si>
  <si>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</si>
  <si>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</si>
  <si>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</si>
  <si>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</si>
  <si>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</si>
  <si>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</si>
  <si>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</si>
  <si>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</si>
  <si>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</si>
  <si>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</si>
  <si>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</si>
  <si>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</si>
  <si>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</si>
  <si>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</si>
  <si>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</si>
  <si>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</si>
  <si>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</si>
  <si>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</si>
  <si>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</si>
  <si>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</si>
  <si>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</si>
  <si>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</si>
  <si>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</si>
  <si>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</si>
  <si>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</si>
  <si>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</si>
  <si>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</si>
  <si>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</si>
  <si>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</si>
  <si>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</si>
  <si>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</si>
  <si>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</si>
  <si>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</si>
  <si>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</si>
  <si>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</si>
  <si>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</si>
  <si>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</si>
  <si>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</si>
  <si>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</si>
  <si>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</si>
  <si>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</si>
  <si>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</si>
  <si>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</si>
  <si>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</si>
  <si>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</si>
  <si>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</si>
  <si>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</si>
  <si>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</si>
  <si>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</si>
  <si>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</si>
  <si>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</si>
  <si>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</si>
  <si>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</si>
  <si>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</si>
  <si>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</si>
  <si>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</si>
  <si>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</si>
  <si>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</si>
  <si>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</si>
  <si>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</si>
  <si>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</si>
  <si>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</si>
  <si>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</si>
  <si>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</si>
  <si>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</si>
  <si>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</si>
  <si>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</si>
  <si>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</si>
  <si>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</si>
  <si>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</si>
  <si>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</si>
  <si>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</si>
  <si>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</si>
  <si>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</si>
  <si>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</si>
  <si>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</si>
  <si>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</si>
  <si>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</si>
  <si>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</si>
  <si>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</si>
  <si>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</si>
  <si>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</si>
  <si>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</si>
  <si>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</si>
  <si>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</si>
  <si>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</si>
  <si>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</si>
  <si>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</si>
  <si>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</si>
  <si>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</si>
  <si>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</si>
  <si>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</si>
  <si>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</si>
  <si>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</si>
  <si>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</si>
  <si>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</si>
  <si>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</si>
  <si>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</si>
  <si>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</si>
  <si>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</si>
  <si>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</si>
  <si>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</si>
  <si>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</si>
  <si>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</si>
  <si>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</si>
  <si>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</si>
  <si>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</si>
  <si>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</si>
  <si>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</si>
  <si>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</si>
  <si>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</si>
  <si>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</si>
  <si>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</si>
  <si>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</si>
  <si>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</si>
  <si>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</si>
  <si>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</si>
  <si>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</si>
  <si>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</si>
  <si>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</si>
  <si>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</si>
  <si>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</si>
  <si>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</si>
  <si>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</si>
  <si>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</si>
  <si>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</si>
  <si>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</si>
  <si>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</si>
  <si>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</si>
  <si>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</si>
  <si>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</si>
  <si>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</si>
  <si>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</si>
  <si>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</si>
  <si>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</si>
  <si>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</si>
  <si>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</si>
  <si>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</si>
  <si>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</si>
  <si>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</si>
  <si>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</si>
  <si>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</si>
  <si>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</si>
  <si>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</si>
  <si>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</si>
  <si>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</si>
  <si>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</si>
  <si>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</si>
  <si>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</si>
  <si>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</si>
  <si>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</si>
  <si>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</si>
  <si>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</si>
  <si>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</si>
  <si>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</si>
  <si>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</si>
  <si>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</si>
  <si>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</si>
  <si>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</si>
  <si>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</si>
  <si>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</si>
  <si>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</si>
  <si>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</si>
  <si>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</si>
  <si>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</si>
  <si>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</si>
  <si>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</si>
  <si>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</si>
  <si>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</si>
  <si>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</si>
  <si>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</si>
  <si>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</si>
  <si>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</si>
  <si>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</si>
  <si>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</si>
  <si>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</si>
  <si>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</si>
  <si>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</si>
  <si>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</si>
  <si>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</si>
  <si>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</si>
  <si>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</si>
  <si>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</si>
  <si>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</si>
  <si>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</si>
  <si>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</si>
  <si>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</si>
  <si>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</si>
  <si>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</si>
  <si>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</si>
  <si>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</si>
  <si>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</si>
  <si>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</si>
  <si>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</si>
  <si>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</si>
  <si>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</si>
  <si>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</si>
  <si>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</si>
  <si>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</si>
  <si>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</si>
  <si>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</si>
  <si>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</si>
  <si>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</si>
  <si>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</si>
  <si>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</si>
  <si>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</si>
  <si>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</si>
  <si>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</si>
  <si>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</si>
  <si>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</si>
  <si>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</si>
  <si>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</si>
  <si>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</si>
  <si>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</si>
  <si>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</si>
  <si>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</si>
  <si>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</si>
  <si>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</si>
  <si>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</si>
  <si>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</si>
  <si>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</si>
  <si>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</si>
  <si>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</si>
  <si>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</si>
  <si>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</si>
  <si>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</si>
  <si>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</si>
  <si>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</si>
  <si>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</si>
  <si>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</si>
  <si>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</si>
  <si>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</si>
  <si>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</si>
  <si>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</si>
  <si>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</si>
  <si>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</si>
  <si>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</si>
  <si>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</si>
  <si>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</si>
  <si>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</si>
  <si>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</si>
  <si>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</si>
  <si>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</si>
  <si>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</si>
  <si>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</si>
  <si>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</si>
  <si>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</si>
  <si>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</si>
  <si>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</si>
  <si>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</si>
  <si>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</si>
  <si>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</si>
  <si>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</si>
  <si>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</si>
  <si>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</si>
  <si>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</si>
  <si>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</si>
  <si>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</si>
  <si>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</si>
  <si>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</si>
  <si>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</si>
  <si>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</si>
  <si>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</si>
  <si>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</si>
  <si>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</si>
  <si>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</si>
  <si>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</si>
  <si>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</si>
  <si>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</si>
  <si>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</si>
  <si>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</si>
  <si>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</si>
  <si>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</si>
  <si>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</si>
  <si>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</si>
  <si>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</si>
  <si>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</si>
  <si>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</si>
  <si>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</si>
  <si>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</si>
  <si>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</si>
  <si>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</si>
  <si>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</si>
  <si>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</si>
  <si>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</si>
  <si>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</si>
  <si>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</si>
  <si>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</si>
  <si>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</si>
  <si>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</si>
  <si>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</si>
  <si>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</si>
  <si>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</si>
  <si>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</si>
  <si>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</si>
  <si>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</si>
  <si>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</si>
  <si>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</si>
  <si>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</si>
  <si>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</si>
  <si>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</si>
  <si>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</si>
  <si>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</si>
  <si>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</si>
  <si>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</si>
  <si>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</si>
  <si>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</si>
  <si>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</si>
  <si>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</si>
  <si>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</si>
  <si>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</si>
  <si>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</si>
  <si>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</si>
  <si>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</si>
  <si>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</si>
  <si>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</si>
  <si>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</si>
  <si>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</si>
  <si>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</si>
  <si>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</si>
  <si>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</si>
  <si>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</si>
  <si>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</si>
  <si>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</si>
  <si>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</si>
  <si>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</si>
  <si>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</si>
  <si>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</si>
  <si>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</si>
  <si>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</si>
  <si>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</si>
  <si>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</si>
  <si>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</si>
  <si>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</si>
  <si>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</si>
  <si>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</si>
  <si>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</si>
  <si>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</si>
  <si>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</si>
  <si>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</si>
  <si>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</si>
  <si>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</si>
  <si>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</si>
  <si>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</si>
  <si>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</si>
  <si>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</si>
  <si>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</si>
  <si>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</si>
  <si>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</si>
  <si>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</si>
  <si>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</si>
  <si>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</si>
  <si>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</si>
  <si>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</si>
  <si>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</si>
  <si>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</si>
  <si>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</si>
  <si>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</si>
  <si>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</si>
  <si>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</si>
  <si>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</si>
  <si>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</si>
  <si>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</si>
  <si>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</si>
  <si>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</si>
  <si>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</si>
  <si>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</si>
  <si>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</si>
  <si>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</si>
  <si>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</si>
  <si>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</si>
  <si>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</si>
  <si>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</si>
  <si>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</si>
  <si>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</si>
  <si>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</si>
  <si>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</si>
  <si>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</si>
  <si>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</si>
  <si>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</si>
  <si>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</si>
  <si>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</si>
  <si>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</si>
  <si>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</si>
  <si>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</si>
  <si>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</si>
  <si>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</si>
  <si>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</si>
  <si>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</si>
  <si>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</si>
  <si>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</si>
  <si>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</si>
  <si>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</si>
  <si>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</si>
  <si>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</si>
  <si>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</si>
  <si>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</si>
  <si>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</si>
  <si>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</si>
  <si>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</si>
  <si>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</si>
  <si>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</si>
  <si>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</si>
  <si>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</si>
  <si>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</si>
  <si>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</si>
  <si>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</si>
  <si>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</si>
  <si>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</si>
  <si>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</si>
  <si>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</si>
  <si>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</si>
  <si>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</si>
  <si>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</si>
  <si>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</si>
  <si>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</si>
  <si>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</si>
  <si>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</si>
  <si>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</si>
  <si>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</si>
  <si>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</si>
  <si>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</si>
  <si>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</si>
  <si>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</si>
  <si>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</si>
  <si>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</si>
  <si>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</si>
  <si>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</si>
  <si>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</si>
  <si>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</si>
  <si>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</si>
  <si>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</si>
  <si>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</si>
  <si>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</si>
  <si>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</si>
  <si>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</si>
  <si>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</si>
  <si>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</si>
  <si>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</si>
  <si>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</si>
  <si>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</si>
  <si>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</si>
  <si>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</si>
  <si>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</si>
  <si>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</si>
  <si>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</si>
  <si>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</si>
  <si>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</si>
  <si>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</si>
  <si>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</si>
  <si>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</si>
  <si>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</si>
  <si>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</si>
  <si>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</si>
  <si>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</si>
  <si>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</si>
  <si>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</si>
  <si>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</si>
  <si>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</si>
  <si>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</si>
  <si>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</si>
  <si>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</si>
  <si>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</si>
  <si>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</si>
  <si>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</si>
  <si>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</si>
  <si>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</si>
  <si>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</si>
  <si>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</si>
  <si>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</si>
  <si>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</si>
  <si>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</si>
  <si>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</si>
  <si>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</si>
  <si>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</si>
  <si>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</si>
  <si>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</si>
  <si>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</si>
  <si>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</si>
  <si>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</si>
  <si>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</si>
  <si>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</si>
  <si>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</si>
  <si>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</si>
  <si>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</si>
  <si>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</si>
  <si>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</si>
  <si>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</si>
  <si>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</si>
  <si>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</si>
  <si>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</si>
  <si>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</si>
  <si>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</si>
  <si>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</si>
  <si>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</si>
  <si>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</si>
  <si>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</si>
  <si>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</si>
  <si>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</si>
  <si>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</si>
  <si>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</si>
  <si>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</si>
  <si>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</si>
  <si>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</si>
  <si>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</si>
  <si>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</si>
  <si>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</si>
  <si>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</si>
  <si>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</si>
  <si>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</si>
  <si>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</si>
  <si>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</si>
  <si>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</si>
  <si>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</si>
  <si>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</si>
  <si>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</si>
  <si>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</si>
  <si>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</si>
  <si>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</si>
  <si>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</si>
  <si>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</si>
  <si>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</si>
  <si>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</si>
  <si>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</si>
  <si>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</si>
  <si>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</si>
  <si>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</si>
  <si>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</si>
  <si>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</si>
  <si>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</si>
  <si>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</si>
  <si>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</si>
  <si>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</si>
  <si>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</si>
  <si>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</si>
  <si>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</si>
  <si>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</si>
  <si>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</si>
  <si>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</si>
  <si>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</si>
  <si>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</si>
  <si>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</si>
  <si>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</si>
  <si>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</si>
  <si>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</si>
  <si>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</si>
  <si>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</si>
  <si>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</si>
  <si>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</si>
  <si>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</si>
  <si>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</si>
  <si>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</si>
  <si>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</si>
  <si>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</si>
  <si>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</si>
  <si>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</si>
  <si>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</si>
  <si>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</si>
  <si>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</si>
  <si>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</si>
  <si>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</si>
  <si>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</si>
  <si>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</si>
  <si>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</si>
  <si>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</si>
  <si>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</si>
  <si>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</si>
  <si>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</si>
  <si>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</si>
  <si>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</si>
  <si>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</si>
  <si>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</si>
  <si>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</si>
  <si>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</si>
  <si>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</si>
  <si>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</si>
  <si>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</si>
  <si>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</si>
  <si>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</si>
  <si>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</si>
  <si>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</si>
  <si>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</si>
  <si>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</si>
  <si>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</si>
  <si>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</si>
  <si>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</si>
  <si>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</si>
  <si>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</si>
  <si>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</si>
  <si>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</si>
  <si>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</si>
  <si>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</si>
  <si>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</si>
  <si>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</si>
  <si>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</si>
  <si>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</si>
  <si>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</si>
  <si>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</si>
  <si>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</si>
  <si>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</si>
  <si>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</si>
  <si>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</si>
  <si>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</si>
  <si>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</si>
  <si>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</si>
  <si>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</si>
  <si>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</si>
  <si>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</si>
  <si>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</si>
  <si>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</si>
  <si>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</si>
  <si>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</si>
  <si>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</si>
  <si>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</si>
  <si>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</si>
  <si>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</si>
  <si>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</si>
  <si>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</si>
  <si>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</si>
  <si>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</si>
  <si>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</si>
  <si>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</si>
  <si>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</si>
  <si>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</si>
  <si>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</si>
  <si>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</si>
  <si>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</si>
  <si>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</si>
  <si>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</si>
  <si>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</si>
  <si>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</si>
  <si>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</si>
  <si>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</si>
  <si>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</si>
  <si>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</si>
  <si>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</si>
  <si>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</si>
  <si>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</si>
  <si>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</si>
  <si>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</si>
  <si>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</si>
  <si>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</si>
  <si>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</si>
  <si>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</si>
  <si>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</si>
  <si>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</si>
  <si>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</si>
  <si>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</si>
  <si>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</si>
  <si>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</si>
  <si>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</si>
  <si>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</si>
  <si>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</si>
  <si>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</si>
  <si>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</si>
  <si>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</si>
  <si>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</si>
  <si>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</si>
  <si>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</si>
  <si>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</si>
  <si>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</si>
  <si>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</si>
  <si>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</si>
  <si>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</si>
  <si>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</si>
  <si>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</si>
  <si>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</si>
  <si>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</si>
  <si>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</si>
  <si>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</si>
  <si>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</si>
  <si>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</si>
  <si>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</si>
  <si>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</si>
  <si>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</si>
  <si>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</si>
  <si>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</si>
  <si>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</si>
  <si>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</si>
  <si>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</si>
  <si>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</si>
  <si>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</si>
  <si>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</si>
  <si>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</si>
  <si>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</si>
  <si>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</si>
  <si>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</si>
  <si>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</si>
  <si>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</si>
  <si>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</si>
  <si>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</si>
  <si>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</si>
  <si>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</si>
  <si>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</si>
  <si>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</si>
  <si>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</si>
  <si>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</si>
  <si>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</si>
  <si>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</si>
  <si>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</si>
  <si>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</si>
  <si>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</si>
  <si>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</si>
  <si>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</si>
  <si>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</si>
  <si>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</si>
  <si>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</si>
  <si>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</si>
  <si>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</si>
  <si>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</si>
  <si>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</si>
  <si>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</si>
  <si>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</si>
  <si>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</si>
  <si>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</si>
  <si>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</si>
  <si>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</si>
  <si>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</si>
  <si>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</si>
  <si>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</si>
  <si>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</si>
  <si>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</si>
  <si>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</si>
  <si>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</si>
  <si>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</si>
  <si>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</si>
  <si>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</si>
  <si>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</si>
  <si>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</si>
  <si>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</si>
  <si>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</si>
  <si>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</si>
  <si>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</si>
  <si>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</si>
  <si>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</si>
  <si>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</si>
  <si>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</si>
  <si>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</si>
  <si>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</si>
  <si>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</si>
  <si>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</si>
  <si>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</si>
  <si>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</si>
  <si>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</si>
  <si>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</si>
  <si>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</si>
  <si>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</si>
  <si>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</si>
  <si>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</si>
  <si>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</si>
  <si>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</si>
  <si>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</si>
  <si>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</si>
  <si>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</si>
  <si>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</si>
  <si>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</si>
  <si>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</si>
  <si>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</si>
  <si>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</si>
  <si>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</si>
  <si>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</si>
  <si>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</si>
  <si>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</si>
  <si>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</si>
  <si>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</si>
  <si>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</si>
  <si>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</si>
  <si>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</si>
  <si>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</si>
  <si>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</si>
  <si>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</si>
  <si>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</si>
  <si>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</si>
  <si>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</si>
  <si>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</si>
  <si>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</si>
  <si>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</si>
  <si>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</si>
  <si>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</si>
  <si>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</si>
  <si>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</si>
  <si>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</si>
  <si>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</si>
  <si>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</si>
  <si>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</si>
  <si>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</si>
  <si>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</si>
  <si>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</si>
  <si>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</si>
  <si>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</si>
  <si>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</si>
  <si>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</si>
  <si>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</si>
  <si>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</si>
  <si>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</si>
  <si>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</si>
  <si>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</si>
  <si>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</si>
  <si>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</si>
  <si>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</si>
  <si>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</si>
  <si>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</si>
  <si>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</si>
  <si>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</si>
  <si>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</si>
  <si>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</si>
  <si>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</si>
  <si>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</si>
  <si>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</si>
  <si>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</si>
  <si>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</si>
  <si>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</si>
  <si>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</si>
  <si>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</si>
  <si>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</si>
  <si>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</si>
  <si>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</si>
  <si>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</si>
  <si>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</si>
  <si>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</si>
  <si>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</si>
  <si>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</si>
  <si>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</si>
  <si>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</si>
  <si>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</si>
  <si>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</si>
  <si>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</si>
  <si>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</si>
  <si>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</si>
  <si>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</si>
  <si>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</si>
  <si>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</si>
  <si>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</si>
  <si>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</si>
  <si>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</si>
  <si>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</si>
  <si>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</si>
  <si>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</si>
  <si>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</si>
  <si>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</si>
  <si>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</si>
  <si>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</si>
  <si>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</si>
  <si>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</si>
  <si>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</si>
  <si>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</si>
  <si>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</si>
  <si>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</si>
  <si>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</si>
  <si>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</si>
  <si>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</si>
  <si>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</si>
  <si>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</si>
  <si>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</si>
  <si>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</si>
  <si>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</si>
  <si>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</si>
  <si>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</si>
  <si>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</si>
  <si>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</si>
  <si>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</si>
  <si>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</si>
  <si>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</si>
  <si>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</si>
  <si>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</si>
  <si>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</si>
  <si>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</si>
  <si>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</si>
  <si>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</si>
  <si>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</si>
  <si>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</si>
  <si>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</si>
  <si>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</si>
  <si>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</si>
  <si>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</si>
  <si>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</si>
  <si>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</si>
  <si>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</si>
  <si>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</si>
  <si>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</si>
  <si>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</si>
  <si>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</si>
  <si>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</si>
  <si>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</si>
  <si>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</si>
  <si>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</si>
  <si>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</si>
  <si>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</si>
  <si>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</si>
  <si>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</si>
  <si>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</si>
  <si>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</si>
  <si>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</si>
  <si>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</si>
  <si>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</si>
  <si>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</si>
  <si>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</si>
  <si>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</si>
  <si>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</si>
  <si>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</si>
  <si>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</si>
  <si>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</si>
  <si>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</si>
  <si>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</si>
  <si>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</si>
  <si>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</si>
  <si>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</si>
  <si>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</si>
  <si>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</si>
  <si>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</si>
  <si>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</si>
  <si>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</si>
  <si>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</si>
  <si>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</si>
  <si>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</si>
  <si>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</si>
  <si>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</si>
  <si>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</si>
  <si>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</si>
  <si>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</si>
  <si>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</si>
  <si>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</si>
  <si>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</si>
  <si>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</si>
  <si>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</si>
  <si>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</si>
  <si>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</si>
  <si>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</si>
  <si>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</si>
  <si>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</si>
  <si>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</si>
  <si>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</si>
  <si>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</si>
  <si>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</si>
  <si>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</si>
  <si>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</si>
  <si>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</si>
  <si>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</si>
  <si>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</si>
  <si>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</si>
  <si>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</si>
  <si>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</si>
  <si>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</si>
  <si>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</si>
  <si>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</si>
  <si>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</si>
  <si>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</si>
  <si>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</si>
  <si>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</si>
  <si>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</si>
  <si>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</si>
  <si>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</si>
  <si>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</si>
  <si>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</si>
  <si>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</si>
  <si>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</si>
  <si>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</si>
  <si>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</si>
  <si>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</si>
  <si>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</si>
  <si>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</si>
  <si>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</si>
  <si>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</si>
  <si>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</si>
  <si>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</si>
  <si>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</si>
  <si>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</si>
  <si>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</si>
  <si>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</si>
  <si>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</si>
  <si>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</si>
  <si>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</si>
  <si>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</si>
  <si>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</si>
  <si>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</si>
  <si>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</si>
  <si>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</si>
  <si>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</si>
  <si>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</si>
  <si>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</si>
  <si>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</si>
  <si>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</si>
  <si>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</si>
  <si>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</si>
  <si>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</si>
  <si>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</si>
  <si>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</si>
  <si>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</si>
  <si>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</si>
  <si>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</si>
  <si>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</si>
  <si>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</si>
  <si>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</si>
  <si>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</si>
  <si>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</si>
  <si>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</si>
  <si>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</si>
  <si>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</si>
  <si>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</si>
  <si>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</si>
  <si>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</si>
  <si>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</si>
  <si>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</si>
  <si>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</si>
  <si>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</si>
  <si>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</si>
  <si>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</si>
  <si>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</si>
  <si>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</si>
  <si>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</si>
  <si>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</si>
  <si>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</si>
  <si>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</si>
  <si>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</si>
  <si>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</si>
  <si>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</si>
  <si>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</si>
  <si>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</si>
  <si>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</si>
  <si>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</si>
  <si>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</si>
  <si>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</si>
  <si>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</si>
  <si>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</si>
  <si>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</si>
  <si>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</si>
  <si>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</si>
  <si>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</si>
  <si>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</si>
  <si>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</si>
  <si>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</si>
  <si>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</si>
  <si>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</si>
  <si>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</si>
  <si>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</si>
  <si>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</si>
  <si>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</si>
  <si>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</si>
  <si>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</si>
  <si>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</si>
  <si>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</si>
  <si>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</si>
  <si>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</si>
  <si>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</si>
  <si>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</si>
  <si>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</si>
  <si>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</si>
  <si>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</si>
  <si>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</si>
  <si>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</si>
  <si>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</si>
  <si>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</si>
  <si>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</si>
  <si>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</si>
  <si>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</si>
  <si>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</si>
  <si>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</si>
  <si>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</si>
  <si>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</si>
  <si>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</si>
  <si>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</si>
  <si>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</si>
  <si>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</si>
  <si>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</si>
  <si>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</si>
  <si>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</si>
  <si>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</si>
  <si>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</si>
  <si>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</si>
  <si>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</si>
  <si>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</si>
  <si>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</si>
  <si>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</si>
  <si>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</si>
  <si>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</si>
  <si>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</si>
  <si>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</si>
  <si>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</si>
  <si>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</si>
  <si>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</si>
  <si>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</si>
  <si>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</si>
  <si>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</si>
  <si>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</si>
  <si>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</si>
  <si>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</si>
  <si>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</si>
  <si>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</si>
  <si>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</si>
  <si>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</si>
  <si>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</si>
  <si>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</si>
  <si>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</si>
  <si>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</si>
  <si>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</si>
  <si>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</si>
  <si>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</si>
  <si>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</si>
  <si>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</si>
  <si>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</si>
  <si>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</si>
  <si>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</si>
  <si>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</si>
  <si>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</si>
  <si>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</si>
  <si>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</si>
  <si>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</si>
  <si>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</si>
  <si>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</si>
  <si>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</si>
  <si>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</si>
  <si>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</si>
  <si>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</si>
  <si>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</si>
  <si>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</si>
  <si>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</si>
  <si>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</si>
  <si>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</si>
  <si>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</si>
  <si>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</si>
  <si>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</si>
  <si>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</si>
  <si>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</si>
  <si>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</si>
  <si>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</si>
  <si>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</si>
  <si>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</si>
  <si>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</si>
  <si>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</si>
  <si>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</si>
  <si>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</si>
  <si>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</si>
  <si>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</si>
  <si>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</si>
  <si>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</si>
  <si>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</si>
  <si>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</si>
  <si>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</si>
  <si>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</si>
  <si>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</si>
  <si>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</si>
  <si>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</si>
  <si>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</si>
  <si>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</si>
  <si>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</si>
  <si>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</si>
  <si>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</si>
  <si>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</si>
  <si>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</si>
  <si>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</si>
  <si>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</si>
  <si>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</si>
  <si>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</si>
  <si>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</si>
  <si>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</si>
  <si>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</si>
  <si>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</si>
  <si>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</si>
  <si>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</si>
  <si>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</si>
  <si>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</si>
  <si>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</si>
  <si>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</si>
  <si>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</si>
  <si>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</si>
  <si>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</si>
  <si>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</si>
  <si>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</si>
  <si>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</si>
  <si>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</si>
  <si>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</si>
  <si>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</si>
  <si>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</si>
  <si>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</si>
  <si>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</si>
  <si>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</si>
  <si>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</si>
  <si>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</si>
  <si>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</si>
  <si>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</si>
  <si>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</si>
  <si>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</si>
  <si>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</si>
  <si>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</si>
  <si>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</si>
  <si>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</si>
  <si>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</si>
  <si>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</si>
  <si>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</si>
  <si>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</si>
  <si>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</si>
  <si>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</si>
  <si>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</si>
  <si>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</si>
  <si>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</si>
  <si>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</si>
  <si>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</si>
  <si>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</si>
  <si>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</si>
  <si>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</si>
  <si>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</si>
  <si>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</si>
  <si>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</si>
  <si>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</si>
  <si>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</si>
  <si>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</si>
  <si>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</si>
  <si>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</si>
  <si>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</si>
  <si>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</si>
  <si>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</si>
  <si>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</si>
  <si>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</si>
  <si>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</si>
  <si>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</si>
  <si>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</si>
  <si>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</si>
  <si>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</si>
  <si>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</si>
  <si>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</si>
  <si>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</si>
  <si>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</si>
  <si>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</si>
  <si>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</si>
  <si>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</si>
  <si>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</si>
  <si>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</si>
  <si>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</si>
  <si>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</si>
  <si>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</si>
  <si>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</si>
  <si>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</si>
  <si>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</si>
  <si>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</si>
  <si>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</si>
  <si>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</si>
  <si>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</si>
  <si>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</si>
  <si>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</si>
  <si>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</si>
  <si>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</si>
  <si>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</si>
  <si>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</si>
  <si>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</si>
  <si>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</si>
  <si>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</si>
  <si>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</si>
  <si>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</si>
  <si>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</si>
  <si>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</si>
  <si>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</si>
  <si>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</si>
  <si>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</si>
  <si>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</si>
  <si>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</si>
  <si>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</si>
  <si>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</si>
  <si>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</si>
  <si>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</si>
  <si>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</si>
  <si>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</si>
  <si>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</si>
  <si>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</si>
  <si>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</si>
  <si>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</si>
  <si>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</si>
  <si>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</si>
  <si>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</si>
  <si>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</si>
  <si>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</si>
  <si>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</si>
  <si>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</si>
  <si>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</si>
  <si>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</si>
  <si>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</si>
  <si>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</si>
  <si>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</si>
  <si>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</si>
  <si>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</si>
  <si>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</si>
  <si>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</si>
  <si>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</si>
  <si>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</si>
  <si>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</si>
  <si>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</si>
  <si>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</si>
  <si>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</si>
  <si>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</si>
  <si>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</si>
  <si>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</si>
  <si>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</si>
  <si>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</si>
  <si>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</si>
  <si>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</si>
  <si>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</si>
  <si>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</si>
  <si>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</si>
  <si>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</si>
  <si>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</si>
  <si>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</si>
  <si>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</si>
  <si>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</si>
  <si>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</si>
  <si>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</si>
  <si>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</si>
  <si>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</si>
  <si>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</si>
  <si>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</si>
  <si>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</si>
  <si>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</si>
  <si>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</si>
  <si>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</si>
  <si>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</si>
  <si>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</si>
  <si>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</si>
  <si>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</si>
  <si>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</si>
  <si>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</si>
  <si>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</si>
  <si>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</si>
  <si>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</si>
  <si>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</si>
  <si>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</si>
  <si>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</si>
  <si>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</si>
  <si>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</si>
  <si>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</si>
  <si>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</si>
  <si>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</si>
  <si>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</si>
  <si>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</si>
  <si>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</si>
  <si>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</si>
  <si>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</si>
  <si>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</si>
  <si>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</si>
  <si>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</si>
  <si>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</si>
  <si>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</si>
  <si>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</si>
  <si>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</si>
  <si>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</si>
  <si>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</si>
  <si>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</si>
  <si>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</si>
  <si>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</si>
  <si>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</si>
  <si>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</si>
  <si>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</si>
  <si>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</si>
  <si>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</si>
  <si>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</si>
  <si>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</si>
  <si>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</si>
  <si>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</si>
  <si>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</si>
  <si>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</si>
  <si>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</si>
  <si>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</si>
  <si>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</si>
  <si>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</si>
  <si>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</si>
  <si>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</si>
  <si>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</si>
  <si>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</si>
  <si>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</si>
  <si>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</si>
  <si>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</si>
  <si>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</si>
  <si>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</si>
  <si>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</si>
  <si>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</si>
  <si>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</si>
  <si>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</si>
  <si>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</si>
  <si>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</si>
  <si>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</si>
  <si>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</si>
  <si>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</si>
  <si>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</si>
  <si>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</si>
  <si>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</si>
  <si>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</si>
  <si>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</si>
  <si>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</si>
  <si>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</si>
  <si>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</si>
  <si>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</si>
  <si>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</si>
  <si>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</si>
  <si>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</si>
  <si>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</si>
  <si>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</si>
  <si>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</si>
  <si>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</si>
  <si>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</si>
  <si>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</si>
  <si>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</si>
  <si>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</si>
  <si>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</si>
  <si>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</si>
  <si>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</si>
  <si>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</si>
  <si>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</si>
  <si>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</si>
  <si>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</si>
  <si>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</si>
  <si>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</si>
  <si>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</si>
  <si>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</si>
  <si>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</si>
  <si>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</si>
  <si>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</si>
  <si>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</si>
  <si>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</si>
  <si>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</si>
  <si>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</si>
  <si>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</si>
  <si>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</si>
  <si>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</si>
  <si>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</si>
  <si>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</si>
  <si>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</si>
  <si>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</si>
  <si>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</si>
  <si>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</si>
  <si>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</si>
  <si>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</si>
  <si>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</si>
  <si>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</si>
  <si>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</si>
  <si>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</si>
  <si>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</si>
  <si>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</si>
  <si>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</si>
  <si>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</si>
  <si>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</si>
  <si>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</si>
  <si>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</si>
  <si>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</si>
  <si>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</si>
  <si>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</si>
  <si>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</si>
  <si>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</si>
  <si>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</si>
  <si>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</si>
  <si>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</si>
  <si>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</si>
  <si>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</si>
  <si>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</si>
  <si>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</si>
  <si>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</si>
  <si>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</si>
  <si>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</si>
  <si>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</si>
  <si>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</si>
  <si>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</si>
  <si>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</si>
  <si>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</si>
  <si>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</si>
  <si>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</si>
  <si>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</si>
  <si>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</si>
  <si>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</si>
  <si>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</si>
  <si>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</si>
  <si>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</si>
  <si>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</si>
  <si>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</si>
  <si>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</si>
  <si>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</si>
  <si>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</si>
  <si>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</si>
  <si>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</si>
  <si>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</si>
  <si>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</si>
  <si>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</si>
  <si>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</si>
  <si>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</si>
  <si>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</si>
  <si>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</si>
  <si>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</si>
  <si>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</si>
  <si>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</si>
  <si>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</si>
  <si>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</si>
  <si>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</si>
  <si>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</si>
  <si>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</si>
  <si>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</si>
  <si>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</si>
  <si>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</si>
  <si>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</si>
  <si>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</si>
  <si>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</si>
  <si>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</si>
  <si>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</si>
  <si>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</si>
  <si>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</si>
  <si>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</si>
  <si>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</si>
  <si>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</si>
  <si>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</si>
  <si>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</si>
  <si>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</si>
  <si>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</si>
  <si>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</si>
  <si>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</si>
  <si>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</si>
  <si>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</si>
  <si>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</si>
  <si>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</si>
  <si>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</si>
  <si>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</si>
  <si>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</si>
  <si>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</si>
  <si>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</si>
  <si>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</si>
  <si>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</si>
  <si>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</si>
  <si>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</si>
  <si>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</si>
  <si>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</si>
  <si>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</si>
  <si>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</si>
  <si>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</si>
  <si>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</si>
  <si>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</si>
  <si>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</si>
  <si>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</si>
  <si>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</si>
  <si>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</si>
  <si>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</si>
  <si>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</si>
  <si>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</si>
  <si>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</si>
  <si>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</si>
  <si>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</si>
  <si>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</si>
  <si>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</si>
  <si>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</si>
  <si>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</si>
  <si>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</si>
  <si>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</si>
  <si>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</si>
  <si>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</si>
  <si>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</si>
  <si>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</si>
  <si>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</si>
  <si>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</si>
  <si>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</si>
  <si>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</si>
  <si>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</si>
  <si>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</si>
  <si>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</si>
  <si>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</si>
  <si>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</si>
  <si>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</si>
  <si>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</si>
  <si>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</si>
  <si>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</si>
  <si>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</si>
  <si>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</si>
  <si>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</si>
  <si>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</si>
  <si>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</si>
  <si>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</si>
  <si>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</si>
  <si>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</si>
  <si>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</si>
  <si>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</si>
  <si>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</si>
  <si>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</si>
  <si>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</si>
  <si>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</si>
  <si>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</si>
  <si>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</si>
  <si>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</si>
  <si>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</si>
  <si>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</si>
  <si>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</si>
  <si>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</si>
  <si>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</si>
  <si>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</si>
  <si>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</si>
  <si>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</si>
  <si>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</si>
  <si>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</si>
  <si>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</si>
  <si>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</si>
  <si>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</si>
  <si>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</si>
  <si>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</si>
  <si>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</si>
  <si>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</si>
  <si>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</si>
  <si>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</si>
  <si>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</si>
  <si>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</si>
  <si>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</si>
  <si>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</si>
  <si>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</si>
  <si>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</si>
  <si>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</si>
  <si>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</si>
  <si>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</si>
  <si>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</si>
  <si>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</si>
  <si>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</si>
  <si>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</si>
  <si>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</si>
  <si>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</si>
  <si>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</si>
  <si>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</si>
  <si>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</si>
  <si>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</si>
  <si>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</si>
  <si>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</si>
  <si>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</si>
  <si>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</si>
  <si>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</si>
  <si>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</si>
  <si>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</si>
  <si>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</si>
  <si>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</si>
  <si>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</si>
  <si>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</si>
  <si>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</si>
  <si>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</si>
  <si>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</si>
  <si>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</si>
  <si>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</si>
  <si>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</si>
  <si>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</si>
  <si>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</si>
  <si>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</si>
  <si>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</si>
  <si>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</si>
  <si>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</si>
  <si>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</si>
  <si>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</si>
  <si>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</si>
  <si>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</si>
  <si>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</si>
  <si>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</si>
  <si>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</si>
  <si>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</si>
  <si>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</si>
  <si>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</si>
  <si>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</si>
  <si>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</si>
  <si>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</si>
  <si>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</si>
  <si>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</si>
  <si>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</si>
  <si>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</si>
  <si>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</si>
  <si>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</si>
  <si>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</si>
  <si>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</si>
  <si>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</si>
  <si>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</si>
  <si>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</si>
  <si>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</si>
  <si>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</si>
  <si>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</si>
  <si>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</si>
  <si>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</si>
  <si>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</si>
  <si>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</si>
  <si>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</si>
  <si>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</si>
  <si>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</si>
  <si>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</si>
  <si>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</si>
  <si>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</si>
  <si>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</si>
  <si>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</si>
  <si>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</si>
  <si>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</si>
  <si>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</si>
  <si>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</si>
  <si>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</si>
  <si>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</si>
  <si>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</si>
  <si>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</si>
  <si>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</si>
  <si>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</si>
  <si>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</si>
  <si>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</si>
  <si>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</si>
  <si>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</si>
  <si>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</si>
  <si>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</si>
  <si>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</si>
  <si>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</si>
  <si>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</si>
  <si>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</si>
  <si>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</si>
  <si>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</si>
  <si>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</si>
  <si>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</si>
  <si>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</si>
  <si>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</si>
  <si>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</si>
  <si>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</si>
  <si>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</si>
  <si>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</si>
  <si>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</si>
  <si>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</si>
  <si>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</si>
  <si>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</si>
  <si>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</si>
  <si>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</si>
  <si>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</si>
  <si>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</si>
  <si>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</si>
  <si>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</si>
  <si>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</si>
  <si>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</si>
  <si>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</si>
  <si>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</si>
  <si>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</si>
  <si>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</si>
  <si>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</si>
  <si>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</si>
  <si>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</si>
  <si>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</si>
  <si>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</si>
  <si>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</si>
  <si>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</si>
  <si>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</si>
  <si>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</si>
  <si>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</si>
  <si>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</si>
  <si>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</si>
  <si>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</si>
  <si>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</si>
  <si>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</si>
  <si>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</si>
  <si>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</si>
  <si>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</si>
  <si>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</si>
  <si>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</si>
  <si>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</si>
  <si>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</si>
  <si>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</si>
  <si>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</si>
  <si>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</si>
  <si>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</si>
  <si>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</si>
  <si>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</si>
  <si>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</si>
  <si>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</si>
  <si>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</si>
  <si>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</si>
  <si>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</si>
  <si>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</si>
  <si>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</si>
  <si>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</si>
  <si>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</si>
  <si>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</si>
  <si>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</si>
  <si>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</si>
  <si>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</si>
  <si>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</si>
  <si>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</si>
  <si>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</si>
  <si>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</si>
  <si>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</si>
  <si>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</si>
  <si>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</si>
  <si>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</si>
  <si>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</si>
  <si>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</si>
  <si>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</si>
  <si>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</si>
  <si>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</si>
  <si>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</si>
  <si>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</si>
  <si>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</si>
  <si>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</si>
  <si>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</si>
  <si>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</si>
  <si>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</si>
  <si>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</si>
  <si>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</si>
  <si>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</si>
  <si>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</si>
  <si>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</si>
  <si>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</si>
  <si>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</si>
  <si>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</si>
  <si>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</si>
  <si>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</si>
  <si>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</si>
  <si>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</si>
  <si>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</si>
  <si>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</si>
  <si>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</si>
  <si>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</si>
  <si>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</si>
  <si>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</si>
  <si>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</si>
  <si>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</si>
  <si>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</si>
  <si>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</si>
  <si>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</si>
  <si>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</si>
  <si>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</si>
  <si>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</si>
  <si>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</si>
  <si>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</si>
  <si>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</si>
  <si>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</si>
  <si>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</si>
  <si>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</si>
  <si>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</si>
  <si>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</si>
  <si>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</si>
  <si>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</si>
  <si>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</si>
  <si>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</si>
  <si>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</si>
  <si>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</si>
  <si>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</si>
  <si>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</si>
  <si>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</si>
  <si>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</si>
  <si>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</si>
  <si>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</si>
  <si>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</si>
  <si>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</si>
  <si>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</si>
  <si>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</si>
  <si>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</si>
  <si>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</si>
  <si>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</si>
  <si>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</si>
  <si>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</si>
  <si>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</si>
  <si>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</si>
  <si>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</si>
  <si>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</si>
  <si>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</si>
  <si>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</si>
  <si>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</si>
  <si>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</si>
  <si>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</si>
  <si>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</si>
  <si>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</si>
  <si>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</si>
  <si>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</si>
  <si>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</si>
  <si>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</si>
  <si>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</si>
  <si>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</si>
  <si>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</si>
  <si>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</si>
  <si>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</si>
  <si>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</si>
  <si>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</si>
  <si>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</si>
  <si>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</si>
  <si>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</si>
  <si>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</si>
  <si>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</si>
  <si>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</si>
  <si>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</si>
  <si>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</si>
  <si>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</si>
  <si>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</si>
  <si>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</si>
  <si>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</si>
  <si>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</si>
  <si>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</si>
  <si>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</si>
  <si>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</si>
  <si>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</si>
  <si>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</si>
  <si>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</si>
  <si>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</si>
  <si>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</si>
  <si>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</si>
  <si>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</si>
  <si>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</si>
  <si>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</si>
  <si>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</si>
  <si>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</si>
  <si>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</si>
  <si>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</si>
  <si>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</si>
  <si>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</si>
  <si>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</si>
  <si>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</si>
  <si>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</si>
  <si>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</si>
  <si>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</si>
  <si>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</si>
  <si>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</si>
  <si>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</si>
  <si>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</si>
  <si>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</si>
  <si>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</si>
  <si>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</si>
  <si>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</si>
  <si>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</si>
  <si>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</si>
  <si>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</si>
  <si>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</si>
  <si>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</si>
  <si>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</si>
  <si>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</si>
  <si>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</si>
  <si>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</si>
  <si>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</si>
  <si>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</si>
  <si>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</si>
  <si>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</si>
  <si>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</si>
  <si>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</si>
  <si>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</si>
  <si>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</si>
  <si>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</si>
  <si>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</si>
  <si>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</si>
  <si>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</si>
  <si>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</si>
  <si>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</si>
  <si>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</si>
  <si>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</si>
  <si>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</si>
  <si>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</si>
  <si>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</si>
  <si>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</si>
  <si>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</si>
  <si>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</si>
  <si>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</si>
  <si>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</si>
  <si>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</si>
  <si>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</si>
  <si>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</si>
  <si>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</si>
  <si>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</si>
  <si>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</si>
  <si>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</si>
  <si>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</si>
  <si>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</si>
  <si>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</si>
  <si>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</si>
  <si>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</si>
  <si>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</si>
  <si>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</si>
  <si>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</si>
  <si>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</si>
  <si>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</si>
  <si>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</si>
  <si>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</si>
  <si>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</si>
  <si>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</si>
  <si>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</si>
  <si>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</si>
  <si>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</si>
  <si>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</si>
  <si>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</si>
  <si>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</si>
  <si>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</si>
  <si>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</si>
  <si>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</si>
  <si>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</si>
  <si>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</si>
  <si>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</si>
  <si>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</si>
  <si>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</si>
  <si>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</si>
  <si>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</si>
  <si>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</si>
  <si>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</si>
  <si>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</si>
  <si>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</si>
  <si>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</si>
  <si>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</si>
  <si>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</si>
  <si>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</si>
  <si>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</si>
  <si>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</si>
  <si>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</si>
  <si>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</si>
  <si>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</si>
  <si>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</si>
  <si>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</si>
  <si>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</si>
  <si>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</si>
  <si>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</si>
  <si>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</si>
  <si>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</si>
  <si>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</si>
  <si>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</si>
  <si>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</si>
  <si>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</si>
  <si>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</si>
  <si>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</si>
  <si>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</si>
  <si>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</si>
  <si>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</si>
  <si>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</si>
  <si>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</si>
  <si>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</si>
  <si>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</si>
  <si>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</si>
  <si>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</si>
  <si>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</si>
  <si>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</si>
  <si>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</si>
  <si>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</si>
  <si>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</si>
  <si>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</si>
  <si>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</si>
  <si>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</si>
  <si>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</si>
  <si>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</si>
  <si>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</si>
  <si>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</si>
  <si>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</si>
  <si>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</si>
  <si>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</si>
  <si>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</si>
  <si>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</si>
  <si>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</si>
  <si>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</si>
  <si>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</si>
  <si>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</si>
  <si>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</si>
  <si>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</si>
  <si>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</si>
  <si>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</si>
  <si>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</si>
  <si>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</si>
  <si>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</si>
  <si>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</si>
  <si>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</si>
  <si>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</si>
  <si>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</si>
  <si>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</si>
  <si>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</si>
  <si>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</si>
  <si>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</si>
  <si>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</si>
  <si>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</si>
  <si>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</si>
  <si>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</si>
  <si>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</si>
  <si>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</si>
  <si>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</si>
  <si>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</si>
  <si>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</si>
  <si>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</si>
  <si>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</si>
  <si>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</si>
  <si>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</si>
  <si>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</si>
  <si>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</si>
  <si>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</si>
  <si>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</si>
  <si>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</si>
  <si>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</si>
  <si>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</si>
  <si>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</si>
  <si>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</si>
  <si>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</si>
  <si>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</si>
  <si>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</si>
  <si>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</si>
  <si>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</si>
  <si>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</si>
  <si>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</si>
  <si>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</si>
  <si>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</si>
  <si>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</si>
  <si>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</si>
  <si>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</si>
  <si>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</si>
  <si>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</si>
  <si>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</si>
  <si>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</si>
  <si>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</si>
  <si>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</si>
  <si>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</si>
  <si>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</si>
  <si>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</si>
  <si>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</si>
  <si>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</si>
  <si>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</si>
  <si>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</si>
  <si>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</si>
  <si>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</si>
  <si>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</si>
  <si>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</si>
  <si>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</si>
  <si>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</si>
  <si>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</si>
  <si>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</si>
  <si>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</si>
  <si>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</si>
  <si>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</si>
  <si>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</si>
  <si>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</si>
  <si>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</si>
  <si>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</si>
  <si>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</si>
  <si>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</si>
  <si>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</si>
  <si>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</si>
  <si>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</si>
  <si>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</si>
  <si>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</si>
  <si>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</si>
  <si>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</si>
  <si>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</si>
  <si>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</si>
  <si>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</si>
  <si>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</si>
  <si>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</si>
  <si>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</si>
  <si>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</si>
  <si>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</si>
  <si>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</si>
  <si>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</si>
  <si>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</si>
  <si>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</si>
  <si>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</si>
  <si>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</si>
  <si>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</si>
  <si>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</si>
  <si>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</si>
  <si>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</si>
  <si>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</si>
  <si>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</si>
  <si>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</si>
  <si>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</si>
  <si>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</si>
  <si>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</si>
  <si>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</si>
  <si>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</si>
  <si>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</si>
  <si>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</si>
  <si>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</si>
  <si>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</si>
  <si>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</si>
  <si>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</si>
  <si>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</si>
  <si>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</si>
  <si>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</si>
  <si>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</si>
  <si>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</si>
  <si>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</si>
  <si>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</si>
  <si>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</si>
  <si>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</si>
  <si>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</si>
  <si>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</si>
  <si>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</si>
  <si>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</si>
  <si>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</si>
  <si>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</si>
  <si>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</si>
  <si>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</si>
  <si>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</si>
  <si>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</si>
  <si>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</si>
  <si>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</si>
  <si>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</si>
  <si>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</si>
  <si>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</si>
  <si>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</si>
  <si>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</si>
  <si>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</si>
  <si>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</si>
  <si>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</si>
  <si>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</si>
  <si>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</si>
  <si>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</si>
  <si>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</si>
  <si>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</si>
  <si>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</si>
  <si>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</si>
  <si>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</si>
  <si>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</si>
  <si>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</si>
  <si>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</si>
  <si>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</si>
  <si>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</si>
  <si>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</si>
  <si>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</si>
  <si>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</si>
  <si>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</si>
  <si>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</si>
  <si>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</si>
  <si>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</si>
  <si>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</si>
  <si>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</si>
  <si>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</si>
  <si>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</si>
  <si>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</si>
  <si>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</si>
  <si>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</si>
  <si>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</si>
  <si>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</si>
  <si>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</si>
  <si>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</si>
  <si>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</si>
  <si>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</si>
  <si>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</si>
  <si>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</si>
  <si>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</si>
  <si>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</si>
  <si>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</si>
  <si>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</si>
  <si>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</si>
  <si>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</si>
  <si>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</si>
  <si>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</si>
  <si>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</si>
  <si>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</si>
  <si>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</si>
  <si>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</si>
  <si>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</si>
  <si>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</si>
  <si>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</si>
  <si>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</si>
  <si>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</si>
  <si>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</si>
  <si>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</si>
  <si>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</si>
  <si>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</si>
  <si>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</si>
  <si>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</si>
  <si>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</si>
  <si>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</si>
  <si>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</si>
  <si>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</si>
  <si>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</si>
  <si>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</si>
  <si>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</si>
  <si>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</si>
  <si>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</si>
  <si>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</si>
  <si>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</si>
  <si>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</si>
  <si>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</si>
  <si>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</si>
  <si>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</si>
  <si>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</si>
  <si>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</si>
  <si>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</si>
  <si>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</si>
  <si>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</si>
  <si>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</si>
  <si>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</si>
  <si>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</si>
  <si>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</si>
  <si>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</si>
  <si>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</si>
  <si>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</si>
  <si>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</si>
  <si>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</si>
  <si>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</si>
  <si>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</si>
  <si>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</si>
  <si>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</si>
  <si>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</si>
  <si>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</si>
  <si>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</si>
  <si>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</si>
  <si>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</si>
  <si>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</si>
  <si>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</si>
  <si>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</si>
  <si>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</si>
  <si>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</si>
  <si>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</si>
  <si>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</si>
  <si>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</si>
  <si>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</si>
  <si>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</si>
  <si>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</si>
  <si>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</si>
  <si>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</si>
  <si>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</si>
  <si>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</si>
  <si>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</si>
  <si>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</si>
  <si>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</si>
  <si>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</si>
  <si>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</si>
  <si>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</si>
  <si>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</si>
  <si>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</si>
  <si>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</si>
  <si>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</si>
  <si>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</si>
  <si>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</si>
  <si>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</si>
  <si>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</si>
  <si>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</si>
  <si>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</si>
  <si>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</si>
  <si>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</si>
  <si>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</si>
  <si>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</si>
  <si>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</si>
  <si>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</si>
  <si>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</si>
  <si>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</si>
  <si>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</si>
  <si>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</si>
  <si>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</si>
  <si>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</si>
  <si>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</si>
  <si>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</si>
  <si>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</si>
  <si>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</si>
  <si>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</si>
  <si>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</si>
  <si>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</si>
  <si>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</si>
  <si>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</si>
  <si>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</si>
  <si>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</si>
  <si>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</si>
  <si>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</si>
  <si>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</si>
  <si>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</si>
  <si>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</si>
  <si>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</si>
  <si>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</si>
  <si>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</si>
  <si>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</si>
  <si>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</si>
  <si>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</si>
  <si>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</si>
  <si>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</si>
  <si>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</si>
  <si>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</si>
  <si>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</si>
  <si>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</si>
  <si>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</si>
  <si>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</si>
  <si>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</si>
  <si>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</si>
  <si>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</si>
  <si>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</si>
  <si>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</si>
  <si>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</si>
  <si>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</si>
  <si>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</si>
  <si>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</si>
  <si>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</si>
  <si>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</si>
  <si>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</si>
  <si>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</si>
  <si>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</si>
  <si>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</si>
  <si>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</si>
  <si>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</si>
  <si>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</si>
  <si>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</si>
  <si>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</si>
  <si>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</si>
  <si>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</si>
  <si>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</si>
  <si>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</si>
  <si>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</si>
  <si>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</si>
  <si>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</si>
  <si>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</si>
  <si>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</si>
  <si>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</si>
  <si>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</si>
  <si>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</si>
  <si>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</si>
  <si>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</si>
  <si>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</si>
  <si>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</si>
  <si>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</si>
  <si>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</si>
  <si>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</si>
  <si>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</si>
  <si>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</si>
  <si>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</si>
  <si>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</si>
  <si>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</si>
  <si>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</si>
  <si>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</si>
  <si>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</si>
  <si>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</si>
  <si>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</si>
  <si>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</si>
  <si>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</si>
  <si>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</si>
  <si>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</si>
  <si>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</si>
  <si>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</si>
  <si>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</si>
  <si>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</si>
  <si>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</si>
  <si>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</si>
  <si>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</si>
  <si>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</si>
  <si>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</si>
  <si>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</si>
  <si>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</si>
  <si>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</si>
  <si>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</si>
  <si>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</si>
  <si>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</si>
  <si>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</si>
  <si>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</si>
  <si>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</si>
  <si>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</si>
  <si>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</si>
  <si>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</si>
  <si>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</si>
  <si>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</si>
  <si>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</si>
  <si>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</si>
  <si>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</si>
  <si>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</si>
  <si>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</si>
  <si>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</si>
  <si>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</si>
  <si>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</si>
  <si>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</si>
  <si>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</si>
  <si>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</si>
  <si>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</si>
  <si>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</si>
  <si>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</si>
  <si>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</si>
  <si>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</si>
  <si>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</si>
  <si>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</si>
  <si>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</si>
  <si>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</si>
  <si>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</si>
  <si>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</si>
  <si>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</si>
  <si>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</si>
  <si>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</si>
  <si>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</si>
  <si>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</si>
  <si>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</si>
  <si>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</si>
  <si>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</si>
  <si>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</si>
  <si>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</si>
  <si>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</si>
  <si>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</si>
  <si>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</si>
  <si>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</si>
  <si>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</si>
  <si>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</si>
  <si>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</si>
  <si>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</si>
  <si>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</si>
  <si>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</si>
  <si>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</si>
  <si>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</si>
  <si>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</si>
  <si>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</si>
  <si>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</si>
  <si>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</si>
  <si>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</si>
  <si>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</si>
  <si>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</si>
  <si>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</si>
  <si>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</si>
  <si>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</si>
  <si>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</si>
  <si>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</si>
  <si>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</si>
  <si>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</si>
  <si>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</si>
  <si>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</si>
  <si>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</si>
  <si>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</si>
  <si>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</si>
  <si>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</si>
  <si>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</si>
  <si>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</si>
  <si>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</si>
  <si>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</si>
  <si>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</si>
  <si>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</si>
  <si>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</si>
  <si>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</si>
  <si>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</si>
  <si>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</si>
  <si>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</si>
  <si>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</si>
  <si>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</si>
  <si>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</si>
  <si>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</si>
  <si>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</si>
  <si>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</si>
  <si>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</si>
  <si>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</si>
  <si>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</si>
  <si>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</si>
  <si>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</si>
  <si>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</si>
  <si>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</si>
  <si>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</si>
  <si>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</si>
  <si>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</si>
  <si>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</si>
  <si>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</si>
  <si>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</si>
  <si>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</si>
  <si>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</si>
  <si>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</si>
  <si>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</si>
  <si>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</si>
  <si>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</si>
  <si>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</si>
  <si>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</si>
  <si>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</si>
  <si>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</si>
  <si>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</si>
  <si>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</si>
  <si>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</si>
  <si>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</si>
  <si>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</si>
  <si>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</si>
  <si>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</si>
  <si>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</si>
  <si>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</si>
  <si>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</si>
  <si>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</si>
  <si>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</si>
  <si>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</si>
  <si>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</si>
  <si>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</si>
  <si>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</si>
  <si>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</si>
  <si>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</si>
  <si>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</si>
  <si>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</si>
  <si>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</si>
  <si>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</si>
  <si>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</si>
  <si>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</si>
  <si>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</si>
  <si>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</si>
  <si>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</si>
  <si>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</si>
  <si>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</si>
  <si>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</si>
  <si>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</si>
  <si>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</si>
  <si>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</si>
  <si>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</si>
  <si>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</si>
  <si>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</si>
  <si>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</si>
  <si>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</si>
  <si>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</si>
  <si>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</si>
  <si>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</si>
  <si>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</si>
  <si>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</si>
  <si>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</si>
  <si>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</si>
  <si>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</si>
  <si>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</si>
  <si>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</si>
  <si>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</si>
  <si>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</si>
  <si>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</si>
  <si>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</si>
  <si>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</si>
  <si>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</si>
  <si>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</si>
  <si>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</si>
  <si>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</si>
  <si>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</si>
  <si>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</si>
  <si>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</si>
  <si>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</si>
  <si>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</si>
  <si>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</si>
  <si>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</si>
  <si>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</si>
  <si>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</si>
  <si>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</si>
  <si>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</si>
  <si>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</si>
  <si>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</si>
  <si>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</si>
  <si>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</si>
  <si>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</si>
  <si>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</si>
  <si>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</si>
  <si>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</si>
  <si>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</si>
  <si>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</si>
  <si>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</si>
  <si>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</si>
  <si>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</si>
  <si>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</si>
  <si>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</si>
  <si>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</si>
  <si>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</si>
  <si>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</si>
  <si>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</si>
  <si>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</si>
  <si>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</si>
  <si>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</si>
  <si>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</si>
  <si>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</si>
  <si>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</si>
  <si>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</si>
  <si>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</si>
  <si>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</si>
  <si>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</si>
  <si>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</si>
  <si>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</si>
  <si>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</si>
  <si>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</si>
  <si>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</si>
  <si>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</si>
  <si>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</si>
  <si>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</si>
  <si>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</si>
  <si>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</si>
  <si>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</si>
  <si>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</si>
  <si>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</si>
  <si>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</si>
  <si>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</si>
  <si>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</si>
  <si>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</si>
  <si>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</si>
  <si>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</si>
  <si>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</si>
  <si>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</si>
  <si>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</si>
  <si>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</si>
  <si>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</si>
  <si>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</si>
  <si>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</si>
  <si>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</si>
  <si>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</si>
  <si>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</si>
  <si>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</si>
  <si>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</si>
  <si>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</si>
  <si>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</si>
  <si>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</si>
  <si>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</si>
  <si>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</si>
  <si>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</si>
  <si>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</si>
  <si>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</si>
  <si>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</si>
  <si>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</si>
  <si>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</si>
  <si>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</si>
  <si>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</si>
  <si>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</si>
  <si>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</si>
  <si>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</si>
  <si>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</si>
  <si>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</si>
  <si>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</si>
  <si>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</si>
  <si>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</si>
  <si>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</si>
  <si>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</si>
  <si>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</si>
  <si>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</si>
  <si>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</si>
  <si>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</si>
  <si>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</si>
  <si>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</si>
  <si>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</si>
  <si>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</si>
  <si>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</si>
  <si>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</si>
  <si>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</si>
  <si>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</si>
  <si>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</si>
  <si>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</si>
  <si>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</si>
  <si>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</si>
  <si>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</si>
  <si>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</si>
  <si>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</si>
  <si>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</si>
  <si>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</si>
  <si>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</si>
  <si>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</si>
  <si>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</si>
  <si>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</si>
  <si>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</si>
  <si>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</si>
  <si>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</si>
  <si>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</si>
  <si>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</si>
  <si>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</si>
  <si>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</si>
  <si>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</si>
  <si>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</si>
  <si>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</si>
  <si>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</si>
  <si>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</si>
  <si>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</si>
  <si>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</si>
  <si>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</si>
  <si>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</si>
  <si>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</si>
  <si>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</si>
  <si>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</si>
  <si>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</si>
  <si>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</si>
  <si>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</si>
  <si>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</si>
  <si>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</si>
  <si>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</si>
  <si>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</si>
  <si>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</si>
  <si>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</si>
  <si>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</si>
  <si>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</si>
  <si>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</si>
  <si>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</si>
  <si>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</si>
  <si>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</si>
  <si>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</si>
  <si>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</si>
  <si>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</si>
  <si>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</si>
  <si>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</si>
  <si>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</si>
  <si>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</si>
  <si>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</si>
  <si>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</si>
  <si>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</si>
  <si>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</si>
  <si>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</si>
  <si>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</si>
  <si>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</si>
  <si>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</si>
  <si>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</si>
  <si>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</si>
  <si>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</si>
  <si>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</si>
  <si>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</si>
  <si>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</si>
  <si>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</si>
  <si>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</si>
  <si>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</si>
  <si>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</si>
  <si>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</si>
  <si>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</si>
  <si>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</si>
  <si>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</si>
  <si>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</si>
  <si>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</si>
  <si>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</si>
  <si>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</si>
  <si>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</si>
  <si>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</si>
  <si>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</si>
  <si>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</si>
  <si>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</si>
  <si>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</si>
  <si>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</si>
  <si>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</si>
  <si>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</si>
  <si>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</si>
  <si>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</si>
  <si>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</si>
  <si>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</si>
  <si>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</si>
  <si>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</si>
  <si>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</si>
  <si>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</si>
  <si>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</si>
  <si>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</si>
  <si>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</si>
  <si>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</si>
  <si>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</si>
  <si>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</si>
  <si>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</si>
  <si>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</si>
  <si>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</si>
  <si>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</si>
  <si>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</si>
  <si>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</si>
  <si>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</si>
  <si>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</si>
  <si>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</si>
  <si>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</si>
  <si>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</si>
  <si>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</si>
  <si>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</si>
  <si>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</si>
  <si>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</si>
  <si>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</si>
  <si>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</si>
  <si>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</si>
  <si>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</si>
  <si>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</si>
  <si>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</si>
  <si>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</si>
  <si>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</si>
  <si>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</si>
  <si>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</si>
  <si>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</si>
  <si>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</si>
  <si>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</si>
  <si>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</si>
  <si>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</si>
  <si>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</si>
  <si>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</si>
  <si>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</si>
  <si>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</si>
  <si>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</si>
  <si>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</si>
  <si>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</si>
  <si>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</si>
  <si>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</si>
  <si>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</si>
  <si>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</si>
  <si>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</si>
  <si>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</si>
  <si>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</si>
  <si>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</si>
  <si>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</si>
  <si>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</si>
  <si>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</si>
  <si>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</si>
  <si>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</si>
  <si>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</si>
  <si>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</si>
  <si>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</si>
  <si>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</si>
  <si>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</si>
  <si>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</si>
  <si>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</si>
  <si>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</si>
  <si>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</si>
  <si>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</si>
  <si>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</si>
  <si>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</si>
  <si>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</si>
  <si>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</si>
  <si>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</si>
  <si>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</si>
  <si>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</si>
  <si>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</si>
  <si>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</si>
  <si>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</si>
  <si>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</si>
  <si>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</si>
  <si>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</si>
  <si>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</si>
  <si>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</si>
  <si>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</si>
  <si>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</si>
  <si>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</si>
  <si>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</si>
  <si>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</si>
  <si>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</si>
  <si>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</si>
  <si>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</si>
  <si>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</si>
  <si>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</si>
  <si>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</si>
  <si>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</si>
  <si>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</si>
  <si>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</si>
  <si>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</si>
  <si>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</si>
  <si>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</si>
  <si>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</si>
  <si>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</si>
  <si>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</si>
  <si>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</si>
  <si>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</si>
  <si>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</si>
  <si>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</si>
  <si>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</si>
  <si>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</si>
  <si>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</si>
  <si>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</si>
  <si>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</si>
  <si>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</si>
  <si>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</si>
  <si>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</si>
  <si>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</si>
  <si>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</si>
  <si>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</si>
  <si>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</si>
  <si>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</si>
  <si>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</si>
  <si>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</si>
  <si>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</si>
  <si>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</si>
  <si>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</si>
  <si>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</si>
  <si>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</si>
  <si>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</si>
  <si>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</si>
  <si>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</si>
  <si>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</si>
  <si>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</si>
  <si>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</si>
  <si>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</si>
  <si>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</si>
  <si>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</si>
  <si>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</si>
  <si>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</si>
  <si>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</si>
  <si>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</si>
  <si>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</si>
  <si>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</si>
  <si>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</si>
  <si>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</si>
  <si>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</si>
  <si>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</si>
  <si>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</si>
  <si>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</si>
  <si>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</si>
  <si>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</si>
  <si>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</si>
  <si>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</si>
  <si>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</si>
  <si>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</si>
  <si>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</si>
  <si>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</si>
  <si>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</si>
  <si>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</si>
  <si>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</si>
  <si>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</si>
  <si>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</si>
  <si>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</si>
  <si>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</si>
  <si>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</si>
  <si>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</si>
  <si>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</si>
  <si>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</si>
  <si>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</si>
  <si>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</si>
  <si>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</si>
  <si>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</si>
  <si>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</si>
  <si>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</si>
  <si>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</si>
  <si>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</si>
  <si>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</si>
  <si>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</si>
  <si>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</si>
  <si>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</si>
  <si>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</si>
  <si>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</si>
  <si>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</si>
  <si>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</si>
  <si>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</si>
  <si>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</si>
  <si>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</si>
  <si>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</si>
  <si>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</si>
  <si>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</si>
  <si>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</si>
  <si>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</si>
  <si>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</si>
  <si>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</si>
  <si>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</si>
  <si>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</si>
  <si>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</si>
  <si>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</si>
  <si>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</si>
  <si>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</si>
  <si>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</si>
  <si>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</si>
  <si>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</si>
  <si>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</si>
  <si>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</si>
  <si>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</si>
  <si>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</si>
  <si>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</si>
  <si>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</si>
  <si>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</si>
  <si>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</si>
  <si>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</si>
  <si>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</si>
  <si>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</si>
  <si>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</si>
  <si>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</si>
  <si>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</si>
  <si>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</si>
  <si>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</si>
  <si>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</si>
  <si>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</si>
  <si>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</si>
  <si>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</si>
  <si>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</si>
  <si>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</si>
  <si>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</si>
  <si>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</si>
  <si>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</si>
  <si>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</si>
  <si>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</si>
  <si>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</si>
  <si>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</si>
  <si>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</si>
  <si>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</si>
  <si>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</si>
  <si>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</si>
  <si>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</si>
  <si>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</si>
  <si>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</si>
  <si>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</si>
  <si>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</si>
  <si>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</si>
  <si>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</si>
  <si>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</si>
  <si>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</si>
  <si>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</si>
  <si>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</si>
  <si>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</si>
  <si>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</si>
  <si>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</si>
  <si>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</si>
  <si>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</si>
  <si>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</si>
  <si>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</si>
  <si>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</si>
  <si>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</si>
  <si>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</si>
  <si>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</si>
  <si>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</si>
  <si>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</si>
  <si>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</si>
  <si>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</si>
  <si>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</si>
  <si>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</si>
  <si>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</si>
  <si>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</si>
  <si>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</si>
  <si>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</si>
  <si>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</si>
  <si>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</si>
  <si>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</si>
  <si>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</si>
  <si>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</si>
  <si>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</si>
  <si>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</si>
  <si>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</si>
  <si>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</si>
  <si>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</si>
  <si>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</si>
  <si>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</si>
  <si>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</si>
  <si>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</si>
  <si>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</si>
  <si>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</si>
  <si>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</si>
  <si>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</si>
  <si>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</si>
  <si>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</si>
  <si>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</si>
  <si>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</si>
  <si>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</si>
  <si>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</si>
  <si>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</si>
  <si>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</si>
  <si>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</si>
  <si>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</si>
  <si>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</si>
  <si>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</si>
  <si>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</si>
  <si>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</si>
  <si>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</si>
  <si>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</si>
  <si>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</si>
  <si>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</si>
  <si>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</si>
  <si>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</si>
  <si>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</si>
  <si>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</si>
  <si>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</si>
  <si>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</si>
  <si>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</si>
  <si>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</si>
  <si>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</si>
  <si>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</si>
  <si>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</si>
  <si>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</si>
  <si>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</si>
  <si>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</si>
  <si>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</si>
  <si>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</si>
  <si>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</si>
  <si>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</si>
  <si>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</si>
  <si>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</si>
  <si>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</si>
  <si>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</si>
  <si>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</si>
  <si>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</si>
  <si>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</si>
  <si>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</si>
  <si>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</si>
  <si>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</si>
  <si>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</si>
  <si>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</si>
  <si>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</si>
  <si>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</si>
  <si>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</si>
  <si>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</si>
  <si>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</si>
  <si>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</si>
  <si>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</si>
  <si>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</si>
  <si>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</si>
  <si>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</si>
  <si>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</si>
  <si>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</si>
  <si>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</si>
  <si>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</si>
  <si>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</si>
  <si>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</si>
  <si>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</si>
  <si>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</si>
  <si>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</si>
  <si>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</si>
  <si>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</si>
  <si>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</si>
  <si>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</si>
  <si>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</si>
  <si>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</si>
  <si>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</si>
  <si>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</si>
  <si>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</si>
  <si>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</si>
  <si>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</si>
  <si>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</si>
  <si>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</si>
  <si>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</si>
  <si>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</si>
  <si>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</si>
  <si>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</si>
  <si>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</si>
  <si>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</si>
  <si>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</si>
  <si>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</si>
  <si>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</si>
  <si>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</si>
  <si>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</si>
  <si>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</si>
  <si>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</si>
  <si>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</si>
  <si>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</si>
  <si>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</si>
  <si>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</si>
  <si>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</si>
  <si>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</si>
  <si>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</si>
  <si>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</si>
  <si>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</si>
  <si>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</si>
  <si>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</si>
  <si>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</si>
  <si>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</si>
  <si>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</si>
  <si>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</si>
  <si>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</si>
  <si>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</si>
  <si>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</si>
  <si>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</si>
  <si>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</si>
  <si>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</si>
  <si>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</si>
  <si>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</si>
  <si>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</si>
  <si>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</si>
  <si>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</si>
  <si>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</si>
  <si>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</si>
  <si>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</si>
  <si>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</si>
  <si>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</si>
  <si>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</si>
  <si>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</si>
  <si>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</si>
  <si>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</si>
  <si>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</si>
  <si>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</si>
  <si>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</si>
  <si>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</si>
  <si>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</si>
  <si>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</si>
  <si>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</si>
  <si>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</si>
  <si>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</si>
  <si>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</si>
  <si>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</si>
  <si>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</si>
  <si>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</si>
  <si>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</si>
  <si>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</si>
  <si>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</si>
  <si>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</si>
  <si>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</si>
  <si>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</si>
  <si>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</si>
  <si>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</si>
  <si>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</si>
  <si>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</si>
  <si>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</si>
  <si>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</si>
  <si>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</si>
  <si>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</si>
  <si>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</si>
  <si>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</si>
  <si>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</si>
  <si>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</si>
  <si>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</si>
  <si>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</si>
  <si>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</si>
  <si>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</si>
  <si>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</si>
  <si>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</si>
  <si>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</si>
  <si>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</si>
  <si>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</si>
  <si>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</si>
  <si>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</si>
  <si>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</si>
  <si>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</si>
  <si>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</si>
  <si>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</si>
  <si>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</si>
  <si>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</si>
  <si>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</si>
  <si>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</si>
  <si>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</si>
  <si>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</si>
  <si>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</si>
  <si>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</si>
  <si>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</si>
  <si>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</si>
  <si>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</si>
  <si>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</si>
  <si>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</si>
  <si>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</si>
  <si>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</si>
  <si>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</si>
  <si>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</si>
  <si>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</si>
  <si>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</si>
  <si>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</si>
  <si>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</si>
  <si>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</si>
  <si>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</si>
  <si>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</si>
  <si>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</si>
  <si>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</si>
  <si>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</si>
  <si>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</si>
  <si>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</si>
  <si>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</si>
  <si>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</si>
  <si>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</si>
  <si>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</si>
  <si>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</si>
  <si>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</si>
  <si>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</si>
  <si>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</si>
  <si>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</si>
  <si>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</si>
  <si>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</si>
  <si>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</si>
  <si>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</si>
  <si>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</si>
  <si>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</si>
  <si>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</si>
  <si>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</si>
  <si>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</si>
  <si>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</si>
  <si>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</si>
  <si>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</si>
  <si>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</si>
  <si>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</si>
  <si>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</si>
  <si>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</si>
  <si>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</si>
  <si>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</si>
  <si>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</si>
  <si>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</si>
  <si>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</si>
  <si>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</si>
  <si>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</si>
  <si>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</si>
  <si>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</si>
  <si>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</si>
  <si>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</si>
  <si>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</si>
  <si>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</si>
  <si>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</si>
  <si>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</si>
  <si>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</si>
  <si>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</si>
  <si>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</si>
  <si>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</si>
  <si>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</si>
  <si>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</si>
  <si>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</si>
  <si>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</si>
  <si>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</si>
  <si>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</si>
  <si>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</si>
  <si>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</si>
  <si>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</si>
  <si>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</si>
  <si>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</si>
  <si>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</si>
  <si>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</si>
  <si>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</si>
  <si>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</si>
  <si>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</si>
  <si>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</si>
  <si>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</si>
  <si>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</si>
  <si>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</si>
  <si>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</si>
  <si>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</si>
  <si>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</si>
  <si>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</si>
  <si>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</si>
  <si>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</si>
  <si>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</si>
  <si>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</si>
  <si>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</si>
  <si>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</si>
  <si>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</si>
  <si>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</si>
  <si>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</si>
  <si>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</si>
  <si>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</si>
  <si>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</si>
  <si>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</si>
  <si>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</si>
  <si>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</si>
  <si>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</si>
  <si>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</si>
  <si>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</si>
  <si>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</si>
  <si>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</si>
  <si>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</si>
  <si>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</si>
  <si>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</si>
  <si>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</si>
  <si>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</si>
  <si>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</si>
  <si>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</si>
  <si>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</si>
  <si>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</si>
  <si>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</si>
  <si>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</si>
  <si>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</si>
  <si>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</si>
  <si>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</si>
  <si>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</si>
  <si>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</si>
  <si>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</si>
  <si>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</si>
  <si>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</si>
  <si>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</si>
  <si>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</si>
  <si>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</si>
  <si>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</si>
  <si>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</si>
  <si>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</si>
  <si>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</si>
  <si>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</si>
  <si>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</si>
  <si>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</si>
  <si>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</si>
  <si>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</si>
  <si>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</si>
  <si>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</si>
  <si>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</si>
  <si>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</si>
  <si>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</si>
  <si>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</si>
  <si>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</si>
  <si>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</si>
  <si>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</si>
  <si>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</si>
  <si>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</si>
  <si>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</si>
  <si>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</si>
  <si>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</si>
  <si>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</si>
  <si>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</si>
  <si>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</si>
  <si>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</si>
  <si>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</si>
  <si>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</si>
  <si>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</si>
  <si>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</si>
  <si>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</si>
  <si>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</si>
  <si>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</si>
  <si>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</si>
  <si>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</si>
  <si>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</si>
  <si>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</si>
  <si>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</si>
  <si>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</si>
  <si>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</si>
  <si>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</si>
  <si>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</si>
  <si>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</si>
  <si>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</si>
  <si>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</si>
  <si>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</si>
  <si>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</si>
  <si>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</si>
  <si>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</si>
  <si>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</si>
  <si>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</si>
  <si>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</si>
  <si>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</si>
  <si>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</si>
  <si>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</si>
  <si>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</si>
  <si>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</si>
  <si>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</si>
  <si>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</si>
  <si>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</si>
  <si>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</si>
  <si>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</si>
  <si>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</si>
  <si>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</si>
  <si>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</si>
  <si>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</si>
  <si>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</si>
  <si>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</si>
  <si>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</si>
  <si>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</si>
  <si>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</si>
  <si>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</si>
  <si>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</si>
  <si>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</si>
  <si>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</si>
  <si>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</si>
  <si>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</si>
  <si>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</si>
  <si>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</si>
  <si>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</si>
  <si>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</si>
  <si>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</si>
  <si>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</si>
  <si>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</si>
  <si>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</si>
  <si>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</si>
  <si>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</si>
  <si>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</si>
  <si>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</si>
  <si>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</si>
  <si>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</si>
  <si>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</si>
  <si>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</si>
  <si>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</si>
  <si>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</si>
  <si>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</si>
  <si>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</si>
  <si>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</si>
  <si>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</si>
  <si>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</si>
  <si>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</si>
  <si>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</si>
  <si>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</si>
  <si>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</si>
  <si>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</si>
  <si>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</si>
  <si>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</si>
  <si>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</si>
  <si>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</si>
  <si>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</si>
  <si>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</si>
  <si>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</si>
  <si>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</si>
  <si>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</si>
  <si>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</si>
  <si>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</si>
  <si>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</si>
  <si>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</si>
  <si>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</si>
  <si>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</si>
  <si>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</si>
  <si>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</si>
  <si>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</si>
  <si>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</si>
  <si>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</si>
  <si>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</si>
  <si>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</si>
  <si>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</si>
  <si>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</si>
  <si>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</si>
  <si>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</si>
  <si>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</si>
  <si>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</si>
  <si>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</si>
  <si>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</si>
  <si>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</si>
  <si>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</si>
  <si>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</si>
  <si>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</si>
  <si>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</si>
  <si>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</si>
  <si>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</si>
  <si>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</si>
  <si>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</si>
  <si>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</si>
  <si>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</si>
  <si>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</si>
  <si>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</si>
  <si>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</si>
  <si>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</si>
  <si>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</si>
  <si>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</si>
  <si>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</si>
  <si>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</si>
  <si>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</si>
  <si>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</si>
  <si>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</si>
  <si>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</si>
  <si>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</si>
  <si>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</si>
  <si>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</si>
  <si>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</si>
  <si>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</si>
  <si>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</si>
  <si>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</si>
  <si>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</si>
  <si>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</si>
  <si>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</si>
  <si>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</si>
  <si>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</si>
  <si>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</si>
  <si>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</si>
  <si>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</si>
  <si>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</si>
  <si>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</si>
  <si>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</si>
  <si>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</si>
  <si>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</si>
  <si>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</si>
  <si>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</si>
  <si>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</si>
  <si>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</si>
  <si>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</si>
  <si>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</si>
  <si>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</si>
  <si>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</si>
  <si>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</si>
  <si>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</si>
  <si>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</si>
  <si>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</si>
  <si>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</si>
  <si>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</si>
  <si>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</si>
  <si>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</si>
  <si>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</si>
  <si>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</si>
  <si>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</si>
  <si>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</si>
  <si>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</si>
  <si>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</si>
  <si>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</si>
  <si>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</si>
  <si>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</si>
  <si>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</si>
  <si>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</si>
  <si>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</si>
  <si>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</si>
  <si>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</si>
  <si>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</si>
  <si>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</si>
  <si>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</si>
  <si>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</si>
  <si>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</si>
  <si>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</si>
  <si>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</si>
  <si>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</si>
  <si>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</si>
  <si>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</si>
  <si>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</si>
  <si>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</si>
  <si>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</si>
  <si>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</si>
  <si>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</si>
  <si>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</si>
  <si>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</si>
  <si>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</si>
  <si>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</si>
  <si>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</si>
  <si>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</si>
  <si>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</si>
  <si>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</si>
  <si>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</si>
  <si>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</si>
  <si>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</si>
  <si>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</si>
  <si>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</si>
  <si>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</si>
  <si>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</si>
  <si>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</si>
  <si>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</si>
  <si>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</si>
  <si>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</si>
  <si>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</si>
  <si>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</si>
  <si>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</si>
  <si>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</si>
  <si>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</si>
  <si>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</si>
  <si>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</si>
  <si>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</si>
  <si>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</si>
  <si>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</si>
  <si>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</si>
  <si>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</si>
  <si>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</si>
  <si>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</si>
  <si>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</si>
  <si>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</si>
  <si>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</si>
  <si>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</si>
  <si>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</si>
  <si>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</si>
  <si>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</si>
  <si>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</si>
  <si>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</si>
  <si>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</si>
  <si>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</si>
  <si>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</si>
  <si>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</si>
  <si>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</si>
  <si>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</si>
  <si>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</si>
  <si>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</si>
  <si>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</si>
  <si>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</si>
  <si>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</si>
  <si>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</si>
  <si>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</si>
  <si>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</si>
  <si>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</si>
  <si>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</si>
  <si>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</si>
  <si>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</si>
  <si>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</si>
  <si>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</si>
  <si>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</si>
  <si>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</si>
  <si>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</si>
  <si>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</si>
  <si>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</si>
  <si>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</si>
  <si>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</si>
  <si>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</si>
  <si>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</si>
  <si>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</si>
  <si>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</si>
  <si>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</si>
  <si>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</si>
  <si>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</si>
  <si>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</si>
  <si>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</si>
  <si>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</si>
  <si>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</si>
  <si>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</si>
  <si>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</si>
  <si>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</si>
  <si>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</si>
  <si>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</si>
  <si>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</si>
  <si>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</si>
  <si>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</si>
  <si>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</si>
  <si>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</si>
  <si>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</si>
  <si>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</si>
  <si>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</si>
  <si>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</si>
  <si>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</si>
  <si>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</si>
  <si>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</si>
  <si>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</si>
  <si>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</si>
  <si>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</si>
  <si>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</si>
  <si>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</si>
  <si>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</si>
  <si>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</si>
  <si>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</si>
  <si>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</si>
  <si>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</si>
  <si>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</si>
  <si>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</si>
  <si>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</si>
  <si>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</si>
  <si>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</si>
  <si>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</si>
  <si>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</si>
  <si>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</si>
  <si>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</si>
  <si>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</si>
  <si>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</si>
  <si>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</si>
  <si>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</si>
  <si>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</si>
  <si>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</si>
  <si>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</si>
  <si>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</si>
  <si>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</si>
  <si>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</si>
  <si>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</si>
  <si>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</si>
  <si>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</si>
  <si>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</si>
  <si>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</si>
  <si>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</si>
  <si>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</si>
  <si>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</si>
  <si>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</si>
  <si>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</si>
  <si>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</si>
  <si>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</si>
  <si>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</si>
  <si>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</si>
  <si>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</si>
  <si>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</si>
  <si>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</si>
  <si>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</si>
  <si>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</si>
  <si>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</si>
  <si>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</si>
  <si>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</si>
  <si>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</si>
  <si>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</si>
  <si>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</si>
  <si>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</si>
  <si>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</si>
  <si>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</si>
  <si>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</si>
  <si>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</si>
  <si>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</si>
  <si>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</si>
  <si>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</si>
  <si>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</si>
  <si>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</si>
  <si>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</si>
  <si>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</si>
  <si>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</si>
  <si>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</si>
  <si>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</si>
  <si>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</si>
  <si>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</si>
  <si>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</si>
  <si>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</si>
  <si>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</si>
  <si>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</si>
  <si>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</si>
  <si>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</si>
  <si>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</si>
  <si>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</si>
  <si>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</si>
  <si>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</si>
  <si>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</si>
  <si>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</si>
  <si>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</si>
  <si>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</si>
  <si>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</si>
  <si>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</si>
  <si>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</si>
  <si>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</si>
  <si>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</si>
  <si>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</si>
  <si>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</si>
  <si>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</si>
  <si>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</si>
  <si>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</si>
  <si>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</si>
  <si>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</si>
  <si>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</si>
  <si>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</si>
  <si>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</si>
  <si>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</si>
  <si>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</si>
  <si>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</si>
  <si>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</si>
  <si>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</si>
  <si>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</si>
  <si>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</si>
  <si>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</si>
  <si>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</si>
  <si>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</si>
  <si>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</si>
  <si>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</si>
  <si>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</si>
  <si>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</si>
  <si>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</si>
  <si>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</si>
  <si>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</si>
  <si>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</si>
  <si>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</si>
  <si>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</si>
  <si>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</si>
  <si>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</si>
  <si>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</si>
  <si>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</si>
  <si>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</si>
  <si>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</si>
  <si>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</si>
  <si>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</si>
  <si>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</si>
  <si>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</si>
  <si>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</si>
  <si>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</si>
  <si>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</si>
  <si>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</si>
  <si>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</si>
  <si>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</si>
  <si>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</si>
  <si>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</si>
  <si>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</si>
  <si>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</si>
  <si>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</si>
  <si>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</si>
  <si>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</si>
  <si>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</si>
  <si>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</si>
  <si>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</si>
  <si>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</si>
  <si>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</si>
  <si>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</si>
  <si>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</si>
  <si>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</si>
  <si>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</si>
  <si>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</si>
  <si>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</si>
  <si>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</si>
  <si>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</si>
  <si>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</si>
  <si>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</si>
  <si>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</si>
  <si>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</si>
  <si>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</si>
  <si>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</si>
  <si>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</si>
  <si>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</si>
  <si>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</si>
  <si>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</si>
  <si>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</si>
  <si>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</si>
  <si>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</si>
  <si>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</si>
  <si>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</si>
  <si>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</si>
  <si>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</si>
  <si>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</si>
  <si>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</si>
  <si>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</si>
  <si>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</si>
  <si>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</si>
  <si>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</si>
  <si>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</si>
  <si>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</si>
  <si>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</si>
  <si>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</si>
  <si>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</si>
  <si>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</si>
  <si>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</si>
  <si>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</si>
  <si>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</si>
  <si>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</si>
  <si>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</si>
  <si>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</si>
  <si>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</si>
  <si>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</si>
  <si>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</si>
  <si>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</si>
  <si>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</si>
  <si>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</si>
  <si>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</si>
  <si>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</si>
  <si>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</si>
  <si>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</si>
  <si>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</si>
  <si>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</si>
  <si>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</si>
  <si>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</si>
  <si>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</si>
  <si>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</si>
  <si>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</si>
  <si>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</si>
  <si>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</si>
  <si>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</si>
  <si>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</si>
  <si>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</si>
  <si>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</si>
  <si>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</si>
  <si>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</si>
  <si>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</si>
  <si>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</si>
  <si>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</si>
  <si>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</si>
  <si>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</si>
  <si>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</si>
  <si>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</si>
  <si>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</si>
  <si>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</si>
  <si>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</si>
  <si>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</si>
  <si>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</si>
  <si>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</si>
  <si>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</si>
  <si>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</si>
  <si>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</si>
  <si>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</si>
  <si>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</si>
  <si>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</si>
  <si>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</si>
  <si>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</si>
  <si>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</si>
  <si>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</si>
  <si>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</si>
  <si>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</si>
  <si>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</si>
  <si>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</si>
  <si>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</si>
  <si>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</si>
  <si>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</si>
  <si>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</si>
  <si>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</si>
  <si>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</si>
  <si>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</si>
  <si>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</si>
  <si>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</si>
  <si>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</si>
  <si>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</si>
  <si>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</si>
  <si>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</si>
  <si>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</si>
  <si>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</si>
  <si>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</si>
  <si>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</si>
  <si>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</si>
  <si>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</si>
  <si>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</si>
  <si>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</si>
  <si>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</si>
  <si>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</si>
  <si>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</si>
  <si>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</si>
  <si>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</si>
  <si>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</si>
  <si>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</si>
  <si>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</si>
  <si>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</si>
  <si>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</si>
  <si>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</si>
  <si>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</si>
  <si>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</si>
  <si>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</si>
  <si>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</si>
  <si>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</si>
  <si>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</si>
  <si>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</si>
  <si>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</si>
  <si>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</si>
  <si>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</si>
  <si>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</si>
  <si>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</si>
  <si>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</si>
  <si>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</si>
  <si>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</si>
  <si>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</si>
  <si>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</si>
  <si>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</si>
  <si>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</si>
  <si>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</si>
  <si>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</si>
  <si>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</si>
  <si>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</si>
  <si>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</si>
  <si>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</si>
  <si>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</si>
  <si>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</si>
  <si>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</si>
  <si>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</si>
  <si>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</si>
  <si>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</si>
  <si>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</si>
  <si>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</si>
  <si>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</si>
  <si>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</si>
  <si>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</si>
  <si>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</si>
  <si>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</si>
  <si>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</si>
  <si>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</si>
  <si>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</si>
  <si>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</si>
  <si>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</si>
  <si>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</si>
  <si>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</si>
  <si>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</si>
  <si>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</si>
  <si>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</si>
  <si>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</si>
  <si>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</si>
  <si>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</si>
  <si>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</si>
  <si>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</si>
  <si>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</si>
  <si>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</si>
  <si>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</si>
  <si>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</si>
  <si>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</si>
  <si>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</si>
  <si>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</si>
  <si>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</si>
  <si>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</si>
  <si>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</si>
  <si>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</si>
  <si>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</si>
  <si>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</si>
  <si>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</si>
  <si>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</si>
  <si>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</si>
  <si>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</si>
  <si>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</si>
  <si>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</si>
  <si>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</si>
  <si>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</si>
  <si>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</si>
  <si>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</si>
  <si>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</si>
  <si>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</si>
  <si>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</si>
  <si>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</si>
  <si>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</si>
  <si>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</si>
  <si>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</si>
  <si>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</si>
  <si>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</si>
  <si>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</si>
  <si>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</si>
  <si>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</si>
  <si>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</si>
  <si>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</si>
  <si>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</si>
  <si>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</si>
  <si>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</si>
  <si>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</si>
  <si>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</si>
  <si>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</si>
  <si>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</si>
  <si>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</si>
  <si>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</si>
  <si>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</si>
  <si>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</si>
  <si>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</si>
  <si>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</si>
  <si>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</si>
  <si>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</si>
  <si>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</si>
  <si>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</si>
  <si>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</si>
  <si>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</si>
  <si>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</si>
  <si>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</si>
  <si>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</si>
  <si>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</si>
  <si>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</si>
  <si>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</si>
  <si>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</si>
  <si>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</si>
  <si>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</si>
  <si>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</si>
  <si>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</si>
  <si>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</si>
  <si>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</si>
  <si>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</si>
  <si>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</si>
  <si>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</si>
  <si>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</si>
  <si>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</si>
  <si>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</si>
  <si>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</si>
  <si>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</si>
  <si>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</si>
  <si>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</si>
  <si>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</si>
  <si>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</si>
  <si>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</si>
  <si>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</si>
  <si>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</si>
  <si>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</si>
  <si>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</si>
  <si>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</si>
  <si>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</si>
  <si>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</si>
  <si>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</si>
  <si>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</si>
  <si>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</si>
  <si>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</si>
  <si>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</si>
  <si>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</si>
  <si>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</si>
  <si>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</si>
  <si>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</si>
  <si>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</si>
  <si>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</si>
  <si>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</si>
  <si>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</si>
  <si>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</si>
  <si>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</si>
  <si>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</si>
  <si>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</si>
  <si>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</si>
  <si>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</si>
  <si>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</si>
  <si>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</si>
  <si>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</si>
  <si>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</si>
  <si>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</si>
  <si>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</si>
  <si>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</si>
  <si>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</si>
  <si>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</si>
  <si>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</si>
  <si>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</si>
  <si>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</si>
  <si>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</si>
  <si>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</si>
  <si>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</si>
  <si>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</si>
  <si>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</si>
  <si>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</si>
  <si>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</si>
  <si>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</si>
  <si>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</si>
  <si>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</si>
  <si>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</si>
  <si>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</si>
  <si>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</si>
  <si>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</si>
  <si>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</si>
  <si>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</si>
  <si>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</si>
  <si>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</si>
  <si>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</si>
  <si>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</si>
  <si>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</si>
  <si>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</si>
  <si>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</si>
  <si>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</si>
  <si>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</si>
  <si>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</si>
  <si>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</si>
  <si>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</si>
  <si>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</si>
  <si>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</si>
  <si>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</si>
  <si>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</si>
  <si>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</si>
  <si>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</si>
  <si>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</si>
  <si>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</si>
  <si>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</si>
  <si>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</si>
  <si>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</si>
  <si>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</si>
  <si>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</si>
  <si>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</si>
  <si>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</si>
  <si>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</si>
  <si>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</si>
  <si>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</si>
  <si>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</si>
  <si>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</si>
  <si>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</si>
  <si>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</si>
  <si>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</si>
  <si>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</si>
  <si>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</si>
  <si>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</si>
  <si>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</si>
  <si>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</si>
  <si>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</si>
  <si>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</si>
  <si>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</si>
  <si>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</si>
  <si>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</si>
  <si>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</si>
  <si>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</si>
  <si>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</si>
  <si>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</si>
  <si>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</si>
  <si>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</si>
  <si>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</si>
  <si>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</si>
  <si>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</si>
  <si>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</si>
  <si>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</si>
  <si>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</si>
  <si>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</si>
  <si>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</si>
  <si>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</si>
  <si>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</si>
  <si>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</si>
  <si>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</si>
  <si>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</si>
  <si>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</si>
  <si>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</si>
  <si>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</si>
  <si>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</si>
  <si>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</si>
  <si>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</si>
  <si>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</si>
  <si>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</si>
  <si>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</si>
  <si>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</si>
  <si>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</si>
  <si>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</si>
  <si>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</si>
  <si>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</si>
  <si>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</si>
  <si>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</si>
  <si>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</si>
  <si>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</si>
  <si>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</si>
  <si>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</si>
  <si>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</si>
  <si>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</si>
  <si>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</si>
  <si>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</si>
  <si>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</si>
  <si>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</si>
  <si>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</si>
  <si>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</si>
  <si>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</si>
  <si>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</si>
  <si>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</si>
  <si>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</si>
  <si>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</si>
  <si>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</si>
  <si>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</si>
  <si>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</si>
  <si>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</si>
  <si>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</si>
  <si>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</si>
  <si>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</si>
  <si>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</si>
  <si>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</si>
  <si>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</si>
  <si>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</si>
  <si>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</si>
  <si>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</si>
  <si>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</si>
  <si>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</si>
  <si>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</si>
  <si>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</si>
  <si>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</si>
  <si>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</si>
  <si>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</si>
  <si>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</si>
  <si>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</si>
  <si>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</si>
  <si>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</si>
  <si>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</si>
  <si>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</si>
  <si>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</si>
  <si>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</si>
  <si>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</si>
  <si>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</si>
  <si>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</si>
  <si>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</si>
  <si>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</si>
  <si>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</si>
  <si>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</si>
  <si>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</si>
  <si>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</si>
  <si>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</si>
  <si>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</si>
  <si>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</si>
  <si>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</si>
  <si>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</si>
  <si>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</si>
  <si>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</si>
  <si>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</si>
  <si>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</si>
  <si>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</si>
  <si>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</si>
  <si>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</si>
  <si>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</si>
  <si>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</si>
  <si>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</si>
  <si>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</si>
  <si>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</si>
  <si>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</si>
  <si>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</si>
  <si>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</si>
  <si>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</si>
  <si>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</si>
  <si>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</si>
  <si>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</si>
  <si>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</si>
  <si>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</si>
  <si>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</si>
  <si>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</si>
  <si>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</si>
  <si>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</si>
  <si>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</si>
  <si>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</si>
  <si>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</si>
  <si>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</si>
  <si>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</si>
  <si>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</si>
  <si>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</si>
  <si>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</si>
  <si>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</si>
  <si>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</si>
  <si>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</si>
  <si>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</si>
  <si>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</si>
  <si>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</si>
  <si>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</si>
  <si>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</si>
  <si>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</si>
  <si>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</si>
  <si>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</si>
  <si>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</si>
  <si>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</si>
  <si>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</si>
  <si>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</si>
  <si>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</si>
  <si>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</si>
  <si>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</si>
  <si>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</si>
  <si>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</si>
  <si>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</si>
  <si>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</si>
  <si>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</si>
  <si>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</si>
  <si>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</si>
  <si>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</si>
  <si>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</si>
  <si>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</si>
  <si>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</si>
  <si>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</si>
  <si>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</si>
  <si>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</si>
  <si>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</si>
  <si>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</si>
  <si>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</si>
  <si>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</si>
  <si>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</si>
  <si>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</si>
  <si>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</si>
  <si>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</si>
  <si>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</si>
  <si>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</si>
  <si>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</si>
  <si>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</si>
  <si>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</si>
  <si>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</si>
  <si>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</si>
  <si>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</si>
  <si>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</si>
  <si>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</si>
  <si>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</si>
  <si>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</si>
  <si>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</si>
  <si>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</si>
  <si>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</si>
  <si>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</si>
  <si>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</si>
  <si>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</si>
  <si>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</si>
  <si>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</si>
  <si>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</si>
  <si>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</si>
  <si>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</si>
  <si>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</si>
  <si>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</si>
  <si>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</si>
  <si>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</si>
  <si>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</si>
  <si>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</si>
  <si>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</si>
  <si>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</si>
  <si>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</si>
  <si>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</si>
  <si>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</si>
  <si>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</si>
  <si>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</si>
  <si>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</si>
  <si>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</si>
  <si>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</si>
  <si>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</si>
  <si>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</si>
  <si>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</si>
  <si>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</si>
  <si>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</si>
  <si>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</si>
  <si>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</si>
  <si>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</si>
  <si>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</si>
  <si>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</si>
  <si>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</si>
  <si>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</si>
  <si>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</si>
  <si>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</si>
  <si>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</si>
  <si>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</si>
  <si>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</si>
  <si>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</si>
  <si>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</si>
  <si>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</si>
  <si>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</si>
  <si>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</si>
  <si>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</si>
  <si>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</si>
  <si>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</si>
  <si>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</si>
  <si>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</si>
  <si>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</si>
  <si>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</si>
  <si>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</si>
  <si>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</si>
  <si>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</si>
  <si>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</si>
  <si>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</si>
  <si>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</si>
  <si>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</si>
  <si>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</si>
  <si>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</si>
  <si>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</si>
  <si>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</si>
  <si>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</si>
  <si>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</si>
  <si>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</si>
  <si>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</si>
  <si>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</si>
  <si>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</si>
  <si>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</si>
  <si>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</si>
  <si>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</si>
  <si>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</si>
  <si>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</si>
  <si>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</si>
  <si>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</si>
  <si>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</si>
  <si>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</si>
  <si>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</si>
  <si>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</si>
  <si>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</si>
  <si>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</si>
  <si>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</si>
  <si>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</si>
  <si>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</si>
  <si>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</si>
  <si>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</si>
  <si>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</si>
  <si>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</si>
  <si>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</si>
  <si>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</si>
  <si>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</si>
  <si>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</si>
  <si>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</si>
  <si>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</si>
  <si>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</si>
  <si>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</si>
  <si>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</si>
  <si>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</si>
  <si>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</si>
  <si>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</si>
  <si>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</si>
  <si>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</si>
  <si>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</si>
  <si>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</si>
  <si>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</si>
  <si>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</si>
  <si>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</si>
  <si>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</si>
  <si>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</si>
  <si>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</si>
  <si>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</si>
  <si>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</si>
  <si>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</si>
  <si>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</si>
  <si>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</si>
  <si>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</si>
  <si>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</si>
  <si>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</si>
  <si>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</si>
  <si>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</si>
  <si>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</si>
  <si>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</si>
  <si>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</si>
  <si>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</si>
  <si>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</si>
  <si>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</si>
  <si>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</si>
  <si>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</si>
  <si>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</si>
  <si>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</si>
  <si>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</si>
  <si>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</si>
  <si>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</si>
  <si>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</si>
  <si>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</si>
  <si>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</si>
  <si>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</si>
  <si>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</si>
  <si>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</si>
  <si>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</si>
  <si>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</si>
  <si>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</si>
  <si>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</si>
  <si>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</si>
  <si>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</si>
  <si>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</si>
  <si>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</si>
  <si>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</si>
  <si>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</si>
  <si>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</si>
  <si>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</si>
  <si>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</si>
  <si>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</si>
  <si>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</si>
  <si>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</si>
  <si>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</si>
  <si>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</si>
  <si>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</si>
  <si>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</si>
  <si>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</si>
  <si>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</si>
  <si>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</si>
  <si>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</si>
  <si>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</si>
  <si>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</si>
  <si>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</si>
  <si>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</si>
  <si>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</si>
  <si>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</si>
  <si>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</si>
  <si>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</si>
  <si>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</si>
  <si>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</si>
  <si>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</si>
  <si>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</si>
  <si>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</si>
  <si>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</si>
  <si>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</si>
  <si>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</si>
  <si>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</si>
  <si>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</si>
  <si>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</si>
  <si>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</si>
  <si>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</si>
  <si>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</si>
  <si>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</si>
  <si>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</si>
  <si>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</si>
  <si>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</si>
  <si>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</si>
  <si>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</si>
  <si>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</si>
  <si>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</si>
  <si>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</si>
  <si>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</si>
  <si>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</si>
  <si>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</si>
  <si>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</si>
  <si>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</si>
  <si>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</si>
  <si>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</si>
  <si>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</si>
  <si>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</si>
  <si>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</si>
  <si>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</si>
  <si>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</si>
  <si>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</si>
  <si>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</si>
  <si>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</si>
  <si>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</si>
  <si>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</si>
  <si>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</si>
  <si>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</si>
  <si>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</si>
  <si>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</si>
  <si>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</si>
  <si>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</si>
  <si>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</si>
  <si>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</si>
  <si>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</si>
  <si>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</si>
  <si>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</si>
  <si>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</si>
  <si>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</si>
  <si>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</si>
  <si>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</si>
  <si>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</si>
  <si>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</si>
  <si>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</si>
  <si>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</si>
  <si>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</si>
  <si>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</si>
  <si>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</si>
  <si>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</si>
  <si>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</si>
  <si>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</si>
  <si>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</si>
  <si>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</si>
  <si>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</si>
  <si>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</si>
  <si>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</si>
  <si>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</si>
  <si>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</si>
  <si>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</si>
  <si>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</si>
  <si>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</si>
  <si>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</si>
  <si>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</si>
  <si>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</si>
  <si>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</si>
  <si>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</si>
  <si>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</si>
  <si>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</si>
  <si>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</si>
  <si>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</si>
  <si>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</si>
  <si>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</si>
  <si>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</si>
  <si>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</si>
  <si>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</si>
  <si>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</si>
  <si>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</si>
  <si>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</si>
  <si>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</si>
  <si>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</si>
  <si>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</si>
  <si>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</si>
  <si>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</si>
  <si>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</si>
  <si>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</si>
  <si>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</si>
  <si>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</si>
  <si>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</si>
  <si>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</si>
  <si>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</si>
  <si>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</si>
  <si>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</si>
  <si>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</si>
  <si>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</si>
  <si>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</si>
  <si>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</si>
  <si>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</si>
  <si>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</si>
  <si>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</si>
  <si>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</si>
  <si>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</si>
  <si>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</si>
  <si>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</si>
  <si>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</si>
  <si>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</si>
  <si>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</si>
  <si>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</si>
  <si>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</si>
  <si>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</si>
  <si>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</si>
  <si>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</si>
  <si>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</si>
  <si>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</si>
  <si>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</si>
  <si>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</si>
  <si>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</si>
  <si>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</si>
  <si>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</si>
  <si>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</si>
  <si>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</si>
  <si>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</si>
  <si>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</si>
  <si>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</si>
  <si>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</si>
  <si>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</si>
  <si>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</si>
  <si>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</si>
  <si>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</si>
  <si>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</si>
  <si>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</si>
  <si>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</si>
  <si>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</si>
  <si>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</si>
  <si>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</si>
  <si>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</si>
  <si>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</si>
  <si>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</si>
  <si>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</si>
  <si>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</si>
  <si>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</si>
  <si>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</si>
  <si>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</si>
  <si>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</si>
  <si>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</si>
  <si>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</si>
  <si>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</si>
  <si>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</si>
  <si>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</si>
  <si>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</si>
  <si>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</si>
  <si>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</si>
  <si>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</si>
  <si>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</si>
  <si>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</si>
  <si>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</si>
  <si>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</si>
  <si>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</si>
  <si>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</si>
  <si>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</si>
  <si>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</si>
  <si>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</si>
  <si>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</si>
  <si>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</si>
  <si>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</si>
  <si>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</si>
  <si>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</si>
  <si>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</si>
  <si>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</si>
  <si>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</si>
  <si>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</si>
  <si>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</si>
  <si>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</si>
  <si>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</si>
  <si>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</si>
  <si>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</si>
  <si>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</si>
  <si>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</si>
  <si>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</si>
  <si>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</si>
  <si>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</si>
  <si>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</si>
  <si>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</si>
  <si>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</si>
  <si>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</si>
  <si>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</si>
  <si>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</si>
  <si>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</si>
  <si>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</si>
  <si>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</si>
  <si>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</si>
  <si>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</si>
  <si>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</si>
  <si>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</si>
  <si>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</si>
  <si>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</si>
  <si>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</si>
  <si>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</si>
  <si>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</si>
  <si>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</si>
  <si>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</si>
  <si>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</si>
  <si>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</si>
  <si>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</si>
  <si>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</si>
  <si>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</si>
  <si>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</si>
  <si>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</si>
  <si>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</si>
  <si>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</si>
  <si>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</si>
  <si>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</si>
  <si>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</si>
  <si>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</si>
  <si>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</si>
  <si>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</si>
  <si>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</si>
  <si>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</si>
  <si>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</si>
  <si>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</si>
  <si>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</si>
  <si>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</si>
  <si>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</si>
  <si>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</si>
  <si>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</si>
  <si>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</si>
  <si>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</si>
  <si>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</si>
  <si>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</si>
  <si>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</si>
  <si>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</si>
  <si>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</si>
  <si>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</si>
  <si>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</si>
  <si>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</si>
  <si>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</si>
  <si>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</si>
  <si>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</si>
  <si>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</si>
  <si>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</si>
  <si>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</si>
  <si>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</si>
  <si>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</si>
  <si>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</si>
  <si>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</si>
  <si>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</si>
  <si>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</si>
  <si>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</si>
  <si>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</si>
  <si>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</si>
  <si>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</si>
  <si>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</si>
  <si>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</si>
  <si>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</si>
  <si>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</si>
  <si>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</si>
  <si>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</si>
  <si>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</si>
  <si>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</si>
  <si>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</si>
  <si>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</si>
  <si>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</si>
  <si>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</si>
  <si>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</si>
  <si>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</si>
  <si>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</si>
  <si>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</si>
  <si>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</si>
  <si>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</si>
  <si>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</si>
  <si>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</si>
  <si>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</si>
  <si>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</si>
  <si>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</si>
  <si>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</si>
  <si>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</si>
  <si>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</si>
  <si>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</si>
  <si>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</si>
  <si>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</si>
  <si>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</si>
  <si>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</si>
  <si>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</si>
  <si>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</si>
  <si>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</si>
  <si>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</si>
  <si>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</si>
  <si>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</si>
  <si>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</si>
  <si>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</si>
  <si>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</si>
  <si>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</si>
  <si>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</si>
  <si>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</si>
  <si>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</si>
  <si>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</si>
  <si>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</si>
  <si>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</si>
  <si>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</si>
  <si>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</si>
  <si>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</si>
  <si>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</si>
  <si>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</si>
  <si>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</si>
  <si>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</si>
  <si>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</si>
  <si>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</si>
  <si>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</si>
  <si>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</si>
  <si>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</si>
  <si>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</si>
  <si>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</si>
  <si>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</si>
  <si>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</si>
  <si>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</si>
  <si>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</si>
  <si>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</si>
  <si>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</si>
  <si>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</si>
  <si>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</si>
  <si>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</si>
  <si>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</si>
  <si>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</si>
  <si>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</si>
  <si>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</si>
  <si>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</si>
  <si>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</si>
  <si>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</si>
  <si>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</si>
  <si>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</si>
  <si>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</si>
  <si>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</si>
  <si>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</si>
  <si>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</si>
  <si>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</si>
  <si>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</si>
  <si>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</si>
  <si>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</si>
  <si>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</si>
  <si>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</si>
  <si>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</si>
  <si>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</si>
  <si>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</si>
  <si>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</si>
  <si>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</si>
  <si>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</si>
  <si>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</si>
  <si>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</si>
  <si>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</si>
  <si>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</si>
  <si>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</si>
  <si>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</si>
  <si>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</si>
  <si>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</si>
  <si>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</si>
  <si>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</si>
  <si>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</si>
  <si>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</si>
  <si>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</si>
  <si>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</si>
  <si>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</si>
  <si>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</si>
  <si>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</si>
  <si>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</si>
  <si>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</si>
  <si>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</si>
  <si>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</si>
  <si>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</si>
  <si>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</si>
  <si>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</si>
  <si>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</si>
  <si>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</si>
  <si>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</si>
  <si>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</si>
  <si>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</si>
  <si>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</si>
  <si>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</si>
  <si>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</si>
  <si>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</si>
  <si>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</si>
  <si>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</si>
  <si>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</si>
  <si>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</si>
  <si>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</si>
  <si>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</si>
  <si>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</si>
  <si>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</si>
  <si>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</si>
  <si>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</si>
  <si>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</si>
  <si>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</si>
  <si>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</si>
  <si>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</si>
  <si>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</si>
  <si>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</si>
  <si>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</si>
  <si>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</si>
  <si>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</si>
  <si>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</si>
  <si>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</si>
  <si>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</si>
  <si>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</si>
  <si>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</si>
  <si>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</si>
  <si>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</si>
  <si>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</si>
  <si>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</si>
  <si>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</si>
  <si>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</si>
  <si>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</si>
  <si>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</si>
  <si>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</si>
  <si>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</si>
  <si>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</si>
  <si>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</si>
  <si>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</si>
  <si>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</si>
  <si>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</si>
  <si>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</si>
  <si>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</si>
  <si>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</si>
  <si>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</si>
  <si>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</si>
  <si>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</si>
  <si>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</si>
  <si>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</si>
  <si>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</si>
  <si>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</si>
  <si>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</si>
  <si>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</si>
  <si>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</si>
  <si>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</si>
  <si>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</si>
  <si>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</si>
  <si>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</si>
  <si>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</si>
  <si>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</si>
  <si>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</si>
  <si>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</si>
  <si>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</si>
  <si>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</si>
  <si>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</si>
  <si>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</si>
  <si>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</si>
  <si>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</si>
  <si>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</si>
  <si>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</si>
  <si>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</si>
  <si>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</si>
  <si>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</si>
  <si>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</si>
  <si>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</si>
  <si>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</si>
  <si>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</si>
  <si>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</si>
  <si>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</si>
  <si>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</si>
  <si>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</si>
  <si>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</si>
  <si>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</si>
  <si>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</si>
  <si>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</si>
  <si>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</si>
  <si>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</si>
  <si>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</si>
  <si>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</si>
  <si>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</si>
  <si>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</si>
  <si>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</si>
  <si>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</si>
  <si>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</si>
  <si>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</si>
  <si>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</si>
  <si>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</si>
  <si>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</si>
  <si>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</si>
  <si>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</si>
  <si>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</si>
  <si>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</si>
  <si>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</si>
  <si>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</si>
  <si>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</si>
  <si>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</si>
  <si>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</si>
  <si>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</si>
  <si>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</si>
  <si>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</si>
  <si>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</si>
  <si>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</si>
  <si>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</si>
  <si>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</si>
  <si>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</si>
  <si>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</si>
  <si>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</si>
  <si>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</si>
  <si>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</si>
  <si>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</si>
  <si>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</si>
  <si>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</si>
  <si>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</si>
  <si>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</si>
  <si>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</si>
  <si>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</si>
  <si>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</si>
  <si>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</si>
  <si>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</si>
  <si>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</si>
  <si>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</si>
  <si>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</si>
  <si>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</si>
  <si>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</si>
  <si>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</si>
  <si>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</si>
  <si>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</si>
  <si>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</si>
  <si>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</si>
  <si>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</si>
  <si>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</si>
  <si>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</si>
  <si>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</si>
  <si>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</si>
  <si>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</si>
  <si>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</si>
  <si>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</si>
  <si>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</si>
  <si>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</si>
  <si>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</si>
  <si>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</si>
  <si>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</si>
  <si>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</si>
  <si>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</si>
  <si>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</si>
  <si>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</si>
  <si>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</si>
  <si>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</si>
  <si>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</si>
  <si>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</si>
  <si>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</si>
  <si>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</si>
  <si>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</si>
  <si>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</si>
  <si>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</si>
  <si>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</si>
  <si>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</si>
  <si>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</si>
  <si>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</si>
  <si>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</si>
  <si>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</si>
  <si>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</si>
  <si>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</si>
  <si>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</si>
  <si>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</si>
  <si>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</si>
  <si>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</si>
  <si>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</si>
  <si>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</si>
  <si>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</si>
  <si>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</si>
  <si>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</si>
  <si>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</si>
  <si>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</si>
  <si>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</si>
  <si>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</si>
  <si>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</si>
  <si>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</si>
  <si>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</si>
  <si>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</si>
  <si>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</si>
  <si>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</si>
  <si>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</si>
  <si>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</si>
  <si>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</si>
  <si>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</si>
  <si>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</si>
  <si>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</si>
  <si>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</si>
  <si>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</si>
  <si>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</si>
  <si>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</si>
  <si>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</si>
  <si>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</si>
  <si>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</si>
  <si>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</si>
  <si>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</si>
  <si>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</si>
  <si>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</si>
  <si>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</si>
  <si>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</si>
  <si>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</si>
  <si>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</si>
  <si>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</si>
  <si>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</si>
  <si>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</si>
  <si>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</si>
  <si>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</si>
  <si>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</si>
  <si>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</si>
  <si>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</si>
  <si>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</si>
  <si>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</si>
  <si>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</si>
  <si>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</si>
  <si>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</si>
  <si>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</si>
  <si>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</si>
  <si>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</si>
  <si>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</si>
  <si>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</si>
  <si>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</si>
  <si>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</si>
  <si>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</si>
  <si>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</si>
  <si>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</si>
  <si>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</si>
  <si>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</si>
  <si>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</si>
  <si>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</si>
  <si>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</si>
  <si>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</si>
  <si>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</si>
  <si>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</si>
  <si>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</si>
  <si>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</si>
  <si>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</si>
  <si>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</si>
  <si>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</si>
  <si>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</si>
  <si>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</si>
  <si>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</si>
  <si>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</si>
  <si>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</si>
  <si>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</si>
  <si>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</si>
  <si>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</si>
  <si>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</si>
  <si>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</si>
  <si>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</si>
  <si>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</si>
  <si>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</si>
  <si>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</si>
  <si>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</si>
  <si>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</si>
  <si>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</si>
  <si>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</si>
  <si>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</si>
  <si>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</si>
  <si>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</si>
  <si>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</si>
  <si>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</si>
  <si>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</si>
  <si>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</si>
  <si>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</si>
  <si>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</si>
  <si>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</si>
  <si>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</si>
  <si>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</si>
  <si>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</si>
  <si>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</si>
  <si>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</si>
  <si>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</si>
  <si>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</si>
  <si>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</si>
  <si>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</si>
  <si>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</si>
  <si>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</si>
  <si>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</si>
  <si>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</si>
  <si>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</si>
  <si>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</si>
  <si>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</si>
  <si>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</si>
  <si>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</si>
  <si>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</si>
  <si>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</si>
  <si>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</si>
  <si>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</si>
  <si>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</si>
  <si>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</si>
  <si>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</si>
  <si>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</si>
  <si>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</si>
  <si>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</si>
  <si>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</si>
  <si>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</si>
  <si>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</si>
  <si>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</si>
  <si>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</si>
  <si>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</si>
  <si>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</si>
  <si>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</si>
  <si>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</si>
  <si>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</si>
  <si>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</si>
  <si>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</si>
  <si>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</si>
  <si>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</si>
  <si>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</si>
  <si>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</si>
  <si>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</si>
  <si>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</si>
  <si>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</si>
  <si>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</si>
  <si>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</si>
  <si>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</si>
  <si>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</si>
  <si>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</si>
  <si>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</si>
  <si>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</si>
  <si>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</si>
  <si>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</si>
  <si>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</si>
  <si>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</si>
  <si>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</si>
  <si>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</si>
  <si>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</si>
  <si>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</si>
  <si>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</si>
  <si>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</si>
  <si>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</si>
  <si>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</si>
  <si>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</si>
  <si>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</si>
  <si>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</si>
  <si>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</si>
  <si>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</si>
  <si>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</si>
  <si>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</si>
  <si>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</si>
  <si>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</si>
  <si>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</si>
  <si>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</si>
  <si>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</si>
  <si>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</si>
  <si>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</si>
  <si>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</si>
  <si>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</si>
  <si>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</si>
  <si>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</si>
  <si>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</si>
  <si>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</si>
  <si>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</si>
  <si>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</si>
  <si>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</si>
  <si>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</si>
  <si>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</si>
  <si>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</si>
  <si>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</si>
  <si>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</si>
  <si>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</si>
  <si>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</si>
  <si>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</si>
  <si>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</si>
  <si>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</si>
  <si>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</si>
  <si>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</si>
  <si>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</si>
  <si>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</si>
  <si>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</si>
  <si>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</si>
  <si>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</si>
  <si>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</si>
  <si>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</si>
  <si>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</si>
  <si>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</si>
  <si>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</si>
  <si>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</si>
  <si>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</si>
  <si>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</si>
  <si>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</si>
  <si>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</si>
  <si>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</si>
  <si>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</si>
  <si>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</si>
  <si>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</si>
  <si>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</si>
  <si>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</si>
  <si>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</si>
  <si>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</si>
  <si>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</si>
  <si>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</si>
  <si>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</si>
  <si>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</si>
  <si>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</si>
  <si>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</si>
  <si>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</si>
  <si>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</si>
  <si>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</si>
  <si>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</si>
  <si>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</si>
  <si>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</si>
  <si>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</si>
  <si>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</si>
  <si>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</si>
  <si>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</si>
  <si>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</si>
  <si>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</si>
  <si>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</si>
  <si>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</si>
  <si>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</si>
  <si>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</si>
  <si>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</si>
  <si>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</si>
  <si>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</si>
  <si>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</si>
  <si>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</si>
  <si>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</si>
  <si>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</si>
  <si>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</si>
  <si>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</si>
  <si>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</si>
  <si>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</si>
  <si>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</si>
  <si>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</si>
  <si>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</si>
  <si>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</si>
  <si>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</si>
  <si>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</si>
  <si>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</si>
  <si>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</si>
  <si>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</si>
  <si>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</si>
  <si>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</si>
  <si>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</si>
  <si>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</si>
  <si>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</si>
  <si>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</si>
  <si>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</si>
  <si>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</si>
  <si>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</si>
  <si>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</si>
  <si>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</si>
  <si>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</si>
  <si>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</si>
  <si>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</si>
  <si>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</si>
  <si>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</si>
  <si>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</si>
  <si>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</si>
  <si>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</si>
  <si>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</si>
  <si>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</si>
  <si>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</si>
  <si>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</si>
  <si>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</si>
  <si>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</si>
  <si>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</si>
  <si>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</si>
  <si>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</si>
  <si>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</si>
  <si>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</si>
  <si>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</si>
  <si>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</si>
  <si>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</si>
  <si>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</si>
  <si>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</si>
  <si>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</si>
  <si>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</si>
  <si>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</si>
  <si>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</si>
  <si>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</si>
  <si>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</si>
  <si>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</si>
  <si>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</si>
  <si>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</si>
  <si>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</si>
  <si>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</si>
  <si>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</si>
  <si>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</si>
  <si>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</si>
  <si>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</si>
  <si>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</si>
  <si>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</si>
  <si>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</si>
  <si>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</si>
  <si>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</si>
  <si>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</si>
  <si>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</si>
  <si>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</si>
  <si>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</si>
  <si>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</si>
  <si>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</si>
  <si>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</si>
  <si>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</si>
  <si>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</si>
  <si>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</si>
  <si>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</si>
  <si>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</si>
  <si>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</si>
  <si>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</si>
  <si>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</si>
  <si>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</si>
  <si>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</si>
  <si>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</si>
  <si>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</si>
  <si>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</si>
  <si>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</si>
  <si>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</si>
  <si>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</si>
  <si>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</si>
  <si>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</si>
  <si>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</si>
  <si>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</si>
  <si>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</si>
  <si>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</si>
  <si>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</si>
  <si>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</si>
  <si>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</si>
  <si>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</si>
  <si>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</si>
  <si>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</si>
  <si>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</si>
  <si>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</si>
  <si>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</si>
  <si>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</si>
  <si>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</si>
  <si>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</si>
  <si>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</si>
  <si>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</si>
  <si>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</si>
  <si>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</si>
  <si>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</si>
  <si>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</si>
  <si>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</si>
  <si>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</si>
  <si>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</si>
  <si>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</si>
  <si>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</si>
  <si>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</si>
  <si>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</si>
  <si>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</si>
  <si>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</si>
  <si>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</si>
  <si>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</si>
  <si>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</si>
  <si>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</si>
  <si>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</si>
  <si>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</si>
  <si>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</si>
  <si>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</si>
  <si>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</si>
  <si>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</si>
  <si>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</si>
  <si>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</si>
  <si>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</si>
  <si>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</si>
  <si>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</si>
  <si>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</si>
  <si>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</si>
  <si>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</si>
  <si>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</si>
  <si>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</si>
  <si>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</si>
  <si>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</si>
  <si>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</si>
  <si>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</si>
  <si>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</si>
  <si>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</si>
  <si>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</si>
  <si>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</si>
  <si>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</si>
  <si>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</si>
  <si>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</si>
  <si>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</si>
  <si>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</si>
  <si>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</si>
  <si>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</si>
  <si>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</si>
  <si>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</si>
  <si>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</si>
  <si>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</si>
  <si>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</si>
  <si>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</si>
  <si>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</si>
  <si>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</si>
  <si>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</si>
  <si>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</si>
  <si>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</si>
  <si>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</si>
  <si>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</si>
  <si>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</si>
  <si>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</si>
  <si>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</si>
  <si>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</si>
  <si>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</si>
  <si>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</si>
  <si>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</si>
  <si>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</si>
  <si>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</si>
  <si>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</si>
  <si>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</si>
  <si>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</si>
  <si>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</si>
  <si>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</si>
  <si>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</si>
  <si>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</si>
  <si>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</si>
  <si>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</si>
  <si>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</si>
  <si>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</si>
  <si>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</si>
  <si>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</si>
  <si>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</si>
  <si>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</si>
  <si>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</si>
  <si>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</si>
  <si>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</si>
  <si>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</si>
  <si>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</si>
  <si>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</si>
  <si>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</si>
  <si>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</si>
  <si>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</si>
  <si>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</si>
  <si>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</si>
  <si>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</si>
  <si>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</si>
  <si>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</si>
  <si>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</si>
  <si>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</si>
  <si>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</si>
  <si>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</si>
  <si>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</si>
  <si>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</si>
  <si>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</si>
  <si>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</si>
  <si>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</si>
  <si>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</si>
  <si>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</si>
  <si>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</si>
  <si>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</si>
  <si>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</si>
  <si>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</si>
  <si>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</si>
  <si>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</si>
  <si>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</si>
  <si>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</si>
  <si>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</si>
  <si>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</si>
  <si>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</si>
  <si>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</si>
  <si>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</si>
  <si>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</si>
  <si>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</si>
  <si>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</si>
  <si>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</si>
  <si>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</si>
  <si>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</si>
  <si>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</si>
  <si>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</si>
  <si>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</si>
  <si>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</si>
  <si>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</si>
  <si>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</si>
  <si>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</si>
  <si>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</si>
  <si>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</si>
  <si>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</si>
  <si>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</si>
  <si>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</si>
  <si>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</si>
  <si>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</si>
  <si>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</si>
  <si>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</si>
  <si>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</si>
  <si>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</si>
  <si>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</si>
  <si>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</si>
  <si>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</si>
  <si>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</si>
  <si>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</si>
  <si>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</si>
  <si>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</si>
  <si>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</si>
  <si>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</si>
  <si>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</si>
  <si>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</si>
  <si>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</si>
  <si>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</si>
  <si>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</si>
  <si>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</si>
  <si>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</si>
  <si>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</si>
  <si>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</si>
  <si>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</si>
  <si>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</si>
  <si>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</si>
  <si>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</si>
  <si>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</si>
  <si>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</si>
  <si>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</si>
  <si>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</si>
  <si>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</si>
  <si>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</si>
  <si>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</si>
  <si>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</si>
  <si>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</si>
  <si>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</si>
  <si>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</si>
  <si>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</si>
  <si>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</si>
  <si>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</si>
  <si>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</si>
  <si>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</si>
  <si>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</si>
  <si>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</si>
  <si>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</si>
  <si>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</si>
  <si>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</si>
  <si>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</si>
  <si>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</si>
  <si>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</si>
  <si>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</si>
  <si>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</si>
  <si>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</si>
  <si>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</si>
  <si>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</si>
  <si>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</si>
  <si>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</si>
  <si>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</si>
  <si>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</si>
  <si>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</si>
  <si>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</si>
  <si>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</si>
  <si>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</si>
  <si>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</si>
  <si>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</si>
  <si>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</si>
  <si>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</si>
  <si>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</si>
  <si>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</si>
  <si>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</si>
  <si>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</si>
  <si>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</si>
  <si>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</si>
  <si>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</si>
  <si>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</si>
  <si>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</si>
  <si>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</si>
  <si>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</si>
  <si>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</si>
  <si>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</si>
  <si>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</si>
  <si>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</si>
  <si>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</si>
  <si>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</si>
  <si>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</si>
  <si>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</si>
  <si>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</si>
  <si>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</si>
  <si>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</si>
  <si>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</si>
  <si>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</si>
  <si>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</si>
  <si>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</si>
  <si>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</si>
  <si>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</si>
  <si>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</si>
  <si>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</si>
  <si>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</si>
  <si>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</si>
  <si>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</si>
  <si>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</si>
  <si>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</si>
  <si>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</si>
  <si>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</si>
  <si>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</si>
  <si>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</si>
  <si>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</si>
  <si>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</si>
  <si>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</si>
  <si>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</si>
  <si>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</si>
  <si>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</si>
  <si>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</si>
  <si>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</si>
  <si>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</si>
  <si>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</si>
  <si>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</si>
  <si>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</si>
  <si>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</si>
  <si>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</si>
  <si>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</si>
  <si>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</si>
  <si>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</si>
  <si>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</si>
  <si>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</si>
  <si>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</si>
  <si>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</si>
  <si>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</si>
  <si>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</si>
  <si>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</si>
  <si>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</si>
  <si>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</si>
  <si>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</si>
  <si>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</si>
  <si>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</si>
  <si>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</si>
  <si>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</si>
  <si>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</si>
  <si>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</si>
  <si>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</si>
  <si>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</si>
  <si>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</si>
  <si>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</si>
  <si>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</si>
  <si>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</si>
  <si>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</si>
  <si>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</si>
  <si>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</si>
  <si>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</si>
  <si>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</si>
  <si>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</si>
  <si>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</si>
  <si>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</si>
  <si>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</si>
  <si>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</si>
  <si>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</si>
  <si>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</si>
  <si>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</si>
  <si>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</si>
  <si>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</si>
  <si>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</si>
  <si>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</si>
  <si>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</si>
  <si>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</si>
  <si>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</si>
  <si>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</si>
  <si>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</si>
  <si>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</si>
  <si>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</si>
  <si>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</si>
  <si>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</si>
  <si>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</si>
  <si>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</si>
  <si>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</si>
  <si>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</si>
  <si>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</si>
  <si>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</si>
  <si>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</si>
  <si>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</si>
  <si>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</si>
  <si>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</si>
  <si>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</si>
  <si>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</si>
  <si>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</si>
  <si>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</si>
  <si>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</si>
  <si>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</si>
  <si>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</si>
  <si>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</si>
  <si>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</si>
  <si>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</si>
  <si>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</si>
  <si>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</si>
  <si>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</si>
  <si>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</si>
  <si>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</si>
  <si>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</si>
  <si>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</si>
  <si>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</si>
  <si>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</si>
  <si>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</si>
  <si>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</si>
  <si>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</si>
  <si>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</si>
  <si>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</si>
  <si>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</si>
  <si>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</si>
  <si>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</si>
  <si>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</si>
  <si>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</si>
  <si>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</si>
  <si>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</si>
  <si>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</si>
  <si>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</si>
  <si>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</si>
  <si>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</si>
  <si>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</si>
  <si>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</si>
  <si>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</si>
  <si>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</si>
  <si>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</si>
  <si>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</si>
  <si>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</si>
  <si>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</si>
  <si>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</si>
  <si>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</si>
  <si>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</si>
  <si>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</si>
  <si>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</si>
  <si>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</si>
  <si>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</si>
  <si>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</si>
  <si>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</si>
  <si>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</si>
  <si>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</si>
  <si>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</si>
  <si>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</si>
  <si>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</si>
  <si>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</si>
  <si>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</si>
  <si>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</si>
  <si>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</si>
  <si>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</si>
  <si>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</si>
  <si>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</si>
  <si>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</si>
  <si>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</si>
  <si>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</si>
  <si>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</si>
  <si>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</si>
  <si>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</si>
  <si>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</si>
  <si>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</si>
  <si>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</si>
  <si>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</si>
  <si>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</si>
  <si>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</si>
  <si>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</si>
  <si>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</si>
  <si>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</si>
  <si>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</si>
  <si>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</si>
  <si>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</si>
  <si>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</si>
  <si>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</si>
  <si>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</si>
  <si>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</si>
  <si>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</si>
  <si>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</si>
  <si>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</si>
  <si>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</si>
  <si>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</si>
  <si>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</si>
  <si>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</si>
  <si>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</si>
  <si>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</si>
  <si>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</si>
  <si>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</si>
  <si>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</si>
  <si>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</si>
  <si>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</si>
  <si>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</si>
  <si>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</si>
  <si>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</si>
  <si>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</si>
  <si>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</si>
  <si>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</si>
  <si>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</si>
  <si>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</si>
  <si>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</si>
  <si>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</si>
  <si>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</si>
  <si>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</si>
  <si>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</si>
  <si>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</si>
  <si>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</si>
  <si>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</si>
  <si>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</si>
  <si>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</si>
  <si>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</si>
  <si>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</si>
  <si>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</si>
  <si>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</si>
  <si>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</si>
  <si>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</si>
  <si>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</si>
  <si>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</si>
  <si>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</si>
  <si>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</si>
  <si>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</si>
  <si>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</si>
  <si>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</si>
  <si>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</si>
  <si>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</si>
  <si>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</si>
  <si>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</si>
  <si>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</si>
  <si>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</si>
  <si>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</si>
  <si>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</si>
  <si>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</si>
  <si>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</si>
  <si>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</si>
  <si>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</si>
  <si>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</si>
  <si>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</si>
  <si>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</si>
  <si>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</si>
  <si>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</si>
  <si>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</si>
  <si>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</si>
  <si>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</si>
  <si>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</si>
  <si>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</si>
  <si>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</si>
  <si>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</si>
  <si>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</si>
  <si>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</si>
  <si>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</si>
  <si>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</si>
  <si>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</si>
  <si>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</si>
  <si>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</si>
  <si>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</si>
  <si>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</si>
  <si>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</si>
  <si>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</si>
  <si>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</si>
  <si>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</si>
  <si>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</si>
  <si>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</si>
  <si>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</si>
  <si>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</si>
  <si>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</si>
  <si>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</si>
  <si>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</si>
  <si>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</si>
  <si>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</si>
  <si>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</si>
  <si>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</si>
  <si>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</si>
  <si>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</si>
  <si>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</si>
  <si>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</si>
  <si>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</si>
  <si>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</si>
  <si>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</si>
  <si>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</si>
  <si>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</si>
  <si>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</si>
  <si>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</si>
  <si>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</si>
  <si>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</si>
  <si>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</si>
  <si>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</si>
  <si>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</si>
  <si>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</si>
  <si>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</si>
  <si>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</si>
  <si>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</si>
  <si>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</si>
  <si>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</si>
  <si>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</si>
  <si>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</si>
  <si>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</si>
  <si>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</si>
  <si>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</si>
  <si>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</si>
  <si>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</si>
  <si>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</si>
  <si>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</si>
  <si>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</si>
  <si>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</si>
  <si>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</si>
  <si>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</si>
  <si>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</si>
  <si>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</si>
  <si>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</si>
  <si>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</si>
  <si>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</si>
  <si>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</si>
  <si>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</si>
  <si>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</si>
  <si>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</si>
  <si>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</si>
  <si>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</si>
  <si>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</si>
  <si>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</si>
  <si>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</si>
  <si>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</si>
  <si>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</si>
  <si>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</si>
  <si>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</si>
  <si>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</si>
  <si>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</si>
  <si>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</si>
  <si>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</si>
  <si>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</si>
  <si>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</si>
  <si>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</si>
  <si>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</si>
  <si>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</si>
  <si>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</si>
  <si>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</si>
  <si>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</si>
  <si>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</si>
  <si>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</si>
  <si>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</si>
  <si>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</si>
  <si>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</si>
  <si>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</si>
  <si>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</si>
  <si>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</si>
  <si>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</si>
  <si>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</si>
  <si>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</si>
  <si>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</si>
  <si>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</si>
  <si>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</si>
  <si>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</si>
  <si>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</si>
  <si>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</si>
  <si>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</si>
  <si>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</si>
  <si>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</si>
  <si>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</si>
  <si>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</si>
  <si>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</si>
  <si>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</si>
  <si>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</si>
  <si>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</si>
  <si>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</si>
  <si>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</si>
  <si>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</si>
  <si>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</si>
  <si>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</si>
  <si>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</si>
  <si>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</si>
  <si>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</si>
  <si>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</si>
  <si>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</si>
  <si>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</si>
  <si>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</si>
  <si>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</si>
  <si>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</si>
  <si>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</si>
  <si>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</si>
  <si>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</si>
  <si>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</si>
  <si>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</si>
  <si>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</si>
  <si>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</si>
  <si>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</si>
  <si>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</si>
  <si>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</si>
  <si>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</si>
  <si>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</si>
  <si>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</si>
  <si>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</si>
  <si>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</si>
  <si>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</si>
  <si>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</si>
  <si>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</si>
  <si>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</si>
  <si>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</si>
  <si>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</si>
  <si>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</si>
  <si>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</si>
  <si>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</si>
  <si>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</si>
  <si>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</si>
  <si>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</si>
  <si>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</si>
  <si>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</si>
  <si>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</si>
  <si>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</si>
  <si>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</si>
  <si>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</si>
  <si>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</si>
  <si>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</si>
  <si>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</si>
  <si>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</si>
  <si>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</si>
  <si>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</si>
  <si>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</si>
  <si>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</si>
  <si>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</si>
  <si>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</si>
  <si>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</si>
  <si>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</si>
  <si>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</si>
  <si>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</si>
  <si>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</si>
  <si>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</si>
  <si>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</si>
  <si>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</si>
  <si>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</si>
  <si>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</si>
  <si>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</si>
  <si>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</si>
  <si>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</si>
  <si>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</si>
  <si>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</si>
  <si>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</si>
  <si>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</si>
  <si>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</si>
  <si>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</si>
  <si>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</si>
  <si>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</si>
  <si>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</si>
  <si>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</si>
  <si>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</si>
  <si>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</si>
  <si>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</si>
  <si>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</si>
  <si>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</si>
  <si>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</si>
  <si>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</si>
  <si>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</si>
  <si>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</si>
  <si>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</si>
  <si>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</si>
  <si>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</si>
  <si>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</si>
  <si>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</si>
  <si>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</si>
  <si>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</si>
  <si>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</si>
  <si>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</si>
  <si>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</si>
  <si>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</si>
  <si>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</si>
  <si>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</si>
  <si>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</si>
  <si>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</si>
  <si>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</si>
  <si>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</si>
  <si>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</si>
  <si>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</si>
  <si>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</si>
  <si>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</si>
  <si>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</si>
  <si>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</si>
  <si>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</si>
  <si>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</si>
  <si>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</si>
  <si>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</si>
  <si>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</si>
  <si>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</si>
  <si>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</si>
  <si>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</si>
  <si>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</si>
  <si>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</si>
  <si>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</si>
  <si>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</si>
  <si>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</si>
  <si>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</si>
  <si>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</si>
  <si>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</si>
  <si>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</si>
  <si>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</si>
  <si>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</si>
  <si>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</si>
  <si>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</si>
  <si>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</si>
  <si>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</si>
  <si>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</si>
  <si>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</si>
  <si>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</si>
  <si>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</si>
  <si>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</si>
  <si>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</si>
  <si>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</si>
  <si>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</si>
  <si>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</si>
  <si>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</si>
  <si>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</si>
  <si>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</si>
  <si>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</si>
  <si>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</si>
  <si>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</si>
  <si>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</si>
  <si>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</si>
  <si>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</si>
  <si>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</si>
  <si>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</si>
  <si>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</si>
  <si>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</si>
  <si>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</si>
  <si>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</si>
  <si>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</si>
  <si>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</si>
  <si>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</si>
  <si>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</si>
  <si>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</si>
  <si>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</si>
  <si>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</si>
  <si>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</si>
  <si>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</si>
  <si>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</si>
  <si>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</si>
  <si>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</si>
  <si>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</si>
  <si>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</si>
  <si>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</si>
  <si>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</si>
  <si>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</si>
  <si>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</si>
  <si>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</si>
  <si>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</si>
  <si>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</si>
  <si>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</si>
  <si>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</si>
  <si>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</si>
  <si>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</si>
  <si>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</si>
  <si>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</si>
  <si>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</si>
  <si>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</si>
  <si>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</si>
  <si>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</si>
  <si>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</si>
  <si>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</si>
  <si>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</si>
  <si>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</si>
  <si>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</si>
  <si>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</si>
  <si>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</si>
  <si>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</si>
  <si>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</si>
  <si>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</si>
  <si>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</si>
  <si>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</si>
  <si>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</si>
  <si>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</si>
  <si>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</si>
  <si>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</si>
  <si>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</si>
  <si>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</si>
  <si>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</si>
  <si>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</si>
  <si>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</si>
  <si>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</si>
  <si>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</si>
  <si>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</si>
  <si>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</si>
  <si>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</si>
  <si>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</si>
  <si>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</si>
  <si>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</si>
  <si>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</si>
  <si>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</si>
  <si>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</si>
  <si>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</si>
  <si>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</si>
  <si>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</si>
  <si>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</si>
  <si>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</si>
  <si>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</si>
  <si>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</si>
  <si>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</si>
  <si>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</si>
  <si>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</si>
  <si>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</si>
  <si>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</si>
  <si>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</si>
  <si>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</si>
  <si>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</si>
  <si>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</si>
  <si>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</si>
  <si>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</si>
  <si>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</si>
  <si>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</si>
  <si>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</si>
  <si>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</si>
  <si>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</si>
  <si>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</si>
  <si>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</si>
  <si>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</si>
  <si>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</si>
  <si>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</si>
  <si>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</si>
  <si>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</si>
  <si>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</si>
  <si>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</si>
  <si>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</si>
  <si>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</si>
  <si>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</si>
  <si>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</si>
  <si>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</si>
  <si>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</si>
  <si>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</si>
  <si>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</si>
  <si>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</si>
  <si>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</si>
  <si>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</si>
  <si>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</si>
  <si>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</si>
  <si>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</si>
  <si>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</si>
  <si>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</si>
  <si>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</si>
  <si>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</si>
  <si>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</si>
  <si>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</si>
  <si>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</si>
  <si>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</si>
  <si>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</si>
  <si>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</si>
  <si>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</si>
  <si>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</si>
  <si>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</si>
  <si>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</si>
  <si>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</si>
  <si>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</si>
  <si>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</si>
  <si>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</si>
  <si>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</si>
  <si>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</si>
  <si>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</si>
  <si>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</si>
  <si>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</si>
  <si>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</si>
  <si>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</si>
  <si>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</si>
  <si>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</si>
  <si>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</si>
  <si>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</si>
  <si>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</si>
  <si>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</si>
  <si>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</si>
  <si>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</si>
  <si>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</si>
  <si>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</si>
  <si>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</si>
  <si>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</si>
  <si>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</si>
  <si>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</si>
  <si>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</si>
  <si>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</si>
  <si>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</si>
  <si>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</si>
  <si>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</si>
  <si>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</si>
  <si>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</si>
  <si>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</si>
  <si>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</si>
  <si>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</si>
  <si>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</si>
  <si>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</si>
  <si>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</si>
  <si>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</si>
  <si>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</si>
  <si>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</si>
  <si>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</si>
  <si>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</si>
  <si>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</si>
  <si>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</si>
  <si>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</si>
  <si>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</si>
  <si>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</si>
  <si>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</si>
  <si>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</si>
  <si>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</si>
  <si>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</si>
  <si>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</si>
  <si>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</si>
  <si>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</si>
  <si>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</si>
  <si>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</si>
  <si>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</si>
  <si>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</si>
  <si>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</si>
  <si>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</si>
  <si>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</si>
  <si>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</si>
  <si>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</si>
  <si>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</si>
  <si>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</si>
  <si>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</si>
  <si>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</si>
  <si>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</si>
  <si>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</si>
  <si>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</si>
  <si>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</si>
  <si>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</si>
  <si>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</si>
  <si>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</si>
  <si>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</si>
  <si>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</si>
  <si>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</si>
  <si>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</si>
  <si>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</si>
  <si>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</si>
  <si>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</si>
  <si>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</si>
  <si>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</si>
  <si>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</si>
  <si>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</si>
  <si>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</si>
  <si>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</si>
  <si>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</si>
  <si>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</si>
  <si>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</si>
  <si>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</si>
  <si>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</si>
  <si>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</si>
  <si>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</si>
  <si>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</si>
  <si>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</si>
  <si>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</si>
  <si>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</si>
  <si>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</si>
  <si>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</si>
  <si>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</si>
  <si>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</si>
  <si>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</si>
  <si>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</si>
  <si>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</si>
  <si>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</si>
  <si>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</si>
  <si>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</si>
  <si>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</si>
  <si>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</si>
  <si>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</si>
  <si>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</si>
  <si>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</si>
  <si>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</si>
  <si>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</si>
  <si>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</si>
  <si>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</si>
  <si>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</si>
  <si>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</si>
  <si>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</si>
  <si>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</si>
  <si>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</si>
  <si>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</si>
  <si>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</si>
  <si>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</si>
  <si>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</si>
  <si>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</si>
  <si>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</si>
  <si>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</si>
  <si>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</si>
  <si>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</si>
  <si>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</si>
  <si>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</si>
  <si>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</si>
  <si>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</si>
  <si>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</si>
  <si>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</si>
  <si>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</si>
  <si>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</si>
  <si>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</si>
  <si>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</si>
  <si>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</si>
  <si>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</si>
  <si>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</si>
  <si>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</si>
  <si>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</si>
  <si>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</si>
  <si>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</si>
  <si>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</si>
  <si>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</si>
  <si>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</si>
  <si>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</si>
  <si>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</si>
  <si>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</si>
  <si>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</si>
  <si>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</si>
  <si>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</si>
  <si>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</si>
  <si>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</si>
  <si>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</si>
  <si>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</si>
  <si>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</si>
  <si>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</si>
  <si>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</si>
  <si>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</si>
  <si>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</si>
  <si>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</si>
  <si>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</si>
  <si>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</si>
  <si>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</si>
  <si>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</si>
  <si>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</si>
  <si>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</si>
  <si>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</si>
  <si>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</si>
  <si>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</si>
  <si>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</si>
  <si>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</si>
  <si>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</si>
  <si>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</si>
  <si>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</si>
  <si>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</si>
  <si>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</si>
  <si>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</si>
  <si>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</si>
  <si>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</si>
  <si>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</si>
  <si>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</si>
  <si>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</si>
  <si>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</si>
  <si>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</si>
  <si>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</si>
  <si>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</si>
  <si>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</si>
  <si>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</si>
  <si>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</si>
  <si>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</si>
  <si>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</si>
  <si>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</si>
  <si>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</si>
  <si>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</si>
  <si>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</si>
  <si>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</si>
  <si>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</si>
  <si>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</si>
  <si>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</si>
  <si>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</si>
  <si>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</si>
  <si>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</si>
  <si>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</si>
  <si>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</si>
  <si>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</si>
  <si>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</si>
  <si>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</si>
  <si>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</si>
  <si>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</si>
  <si>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</si>
  <si>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</si>
  <si>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</si>
  <si>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</si>
  <si>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</si>
  <si>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</si>
  <si>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</si>
  <si>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</si>
  <si>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</si>
  <si>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</si>
  <si>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</si>
  <si>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</si>
  <si>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</si>
  <si>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</si>
  <si>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</si>
  <si>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</si>
  <si>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</si>
  <si>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</si>
  <si>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</si>
  <si>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</si>
  <si>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</si>
  <si>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</si>
  <si>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</si>
  <si>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</si>
  <si>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</si>
  <si>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</si>
  <si>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</si>
  <si>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</si>
  <si>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</si>
  <si>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</si>
  <si>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</si>
  <si>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</si>
  <si>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</si>
  <si>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</si>
  <si>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</si>
  <si>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</si>
  <si>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</si>
  <si>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</si>
  <si>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</si>
  <si>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</si>
  <si>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</si>
  <si>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</si>
  <si>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</si>
  <si>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</si>
  <si>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</si>
  <si>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</si>
  <si>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</si>
  <si>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</si>
  <si>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</si>
  <si>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</si>
  <si>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</si>
  <si>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</si>
  <si>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</si>
  <si>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</si>
  <si>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</si>
  <si>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</si>
  <si>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</si>
  <si>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</si>
  <si>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</si>
  <si>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</si>
  <si>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</si>
  <si>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</si>
  <si>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</si>
  <si>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</si>
  <si>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</si>
  <si>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</si>
  <si>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</si>
  <si>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</si>
  <si>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</si>
  <si>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</si>
  <si>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</si>
  <si>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</si>
  <si>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</si>
  <si>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</si>
  <si>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</si>
  <si>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</si>
  <si>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</si>
  <si>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</si>
  <si>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</si>
  <si>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</si>
  <si>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</si>
  <si>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</si>
  <si>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</si>
  <si>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</si>
  <si>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</si>
  <si>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</si>
  <si>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</si>
  <si>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</si>
  <si>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</si>
  <si>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</si>
  <si>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</si>
  <si>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</si>
  <si>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</si>
  <si>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</si>
  <si>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</si>
  <si>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</si>
  <si>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</si>
  <si>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</si>
  <si>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</si>
  <si>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</si>
  <si>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</si>
  <si>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</si>
  <si>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</si>
  <si>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</si>
  <si>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</si>
  <si>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</si>
  <si>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</si>
  <si>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</si>
  <si>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</si>
  <si>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</si>
  <si>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</si>
  <si>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</si>
  <si>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</si>
  <si>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</si>
  <si>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</si>
  <si>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</si>
  <si>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</si>
  <si>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</si>
  <si>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</si>
  <si>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</si>
  <si>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</si>
  <si>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</si>
  <si>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</si>
  <si>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</si>
  <si>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</si>
  <si>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</si>
  <si>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</si>
  <si>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</si>
  <si>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</si>
  <si>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</si>
  <si>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</si>
  <si>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</si>
  <si>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</si>
  <si>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</si>
  <si>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</si>
  <si>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</si>
  <si>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</si>
  <si>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</si>
  <si>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</si>
  <si>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</si>
  <si>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</si>
  <si>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</si>
  <si>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</si>
  <si>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</si>
  <si>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</si>
  <si>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</si>
  <si>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</si>
  <si>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</si>
  <si>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</si>
  <si>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</si>
  <si>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</si>
  <si>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</si>
  <si>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</si>
  <si>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</si>
  <si>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</si>
  <si>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</si>
  <si>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</si>
  <si>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</si>
  <si>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</si>
  <si>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</si>
  <si>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</si>
  <si>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</si>
  <si>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</si>
  <si>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</si>
  <si>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</si>
  <si>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</si>
  <si>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</si>
  <si>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</si>
  <si>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</si>
  <si>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</si>
  <si>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</si>
  <si>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</si>
  <si>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</si>
  <si>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</si>
  <si>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</si>
  <si>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</si>
  <si>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</si>
  <si>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</si>
  <si>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</si>
  <si>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</si>
  <si>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</si>
  <si>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</si>
  <si>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</si>
  <si>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</si>
  <si>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</si>
  <si>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</si>
  <si>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</si>
  <si>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</si>
  <si>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</si>
  <si>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</si>
  <si>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</si>
  <si>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</si>
  <si>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</si>
  <si>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</si>
  <si>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</si>
  <si>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</si>
  <si>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</si>
  <si>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</si>
  <si>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</si>
  <si>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</si>
  <si>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</si>
  <si>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</si>
  <si>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</si>
  <si>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</si>
  <si>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</si>
  <si>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</si>
  <si>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</si>
  <si>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</si>
  <si>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</si>
  <si>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</si>
  <si>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</si>
  <si>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</si>
  <si>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</si>
  <si>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</si>
  <si>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</si>
  <si>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</si>
  <si>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</si>
  <si>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</si>
  <si>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</si>
  <si>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</si>
  <si>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</si>
  <si>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</si>
  <si>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</si>
  <si>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</si>
  <si>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</si>
  <si>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</si>
  <si>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</si>
  <si>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</si>
  <si>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</si>
  <si>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</si>
  <si>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</si>
  <si>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</si>
  <si>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</si>
  <si>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</si>
  <si>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</si>
  <si>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</si>
  <si>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</si>
  <si>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</si>
  <si>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</si>
  <si>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</si>
  <si>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</si>
  <si>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</si>
  <si>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</si>
  <si>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</si>
  <si>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</si>
  <si>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</si>
  <si>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</si>
  <si>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</si>
  <si>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</si>
  <si>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</si>
  <si>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</si>
  <si>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</si>
  <si>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</si>
  <si>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</si>
  <si>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</si>
  <si>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</si>
  <si>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</si>
  <si>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</si>
  <si>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</si>
  <si>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</si>
  <si>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</si>
  <si>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</si>
  <si>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</si>
  <si>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</si>
  <si>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</si>
  <si>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</si>
  <si>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</si>
  <si>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</si>
  <si>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</si>
  <si>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</si>
  <si>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</si>
  <si>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</si>
  <si>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</si>
  <si>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</si>
  <si>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</si>
  <si>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</si>
  <si>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</si>
  <si>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</si>
  <si>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</si>
  <si>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</si>
  <si>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</si>
  <si>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</si>
  <si>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</si>
  <si>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</si>
  <si>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</si>
  <si>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</si>
  <si>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</si>
  <si>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</si>
  <si>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</si>
  <si>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</si>
  <si>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</si>
  <si>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</si>
  <si>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</si>
  <si>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</si>
  <si>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</si>
  <si>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</si>
  <si>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</si>
  <si>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</si>
  <si>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</si>
  <si>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</si>
  <si>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</si>
  <si>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</si>
  <si>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</si>
  <si>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</si>
  <si>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</si>
  <si>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</si>
  <si>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</si>
  <si>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</si>
  <si>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</si>
  <si>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</si>
  <si>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</si>
  <si>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</si>
  <si>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</si>
  <si>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</si>
  <si>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</si>
  <si>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</si>
  <si>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</si>
  <si>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</si>
  <si>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</si>
  <si>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</si>
  <si>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</si>
  <si>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</si>
  <si>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</si>
  <si>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</si>
  <si>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</si>
  <si>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</si>
  <si>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</si>
  <si>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</si>
  <si>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</si>
  <si>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</si>
  <si>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</si>
  <si>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</si>
  <si>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</si>
  <si>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</si>
  <si>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</si>
  <si>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</si>
  <si>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</si>
  <si>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</si>
  <si>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</si>
  <si>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</si>
  <si>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</si>
  <si>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</si>
  <si>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</si>
  <si>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</si>
  <si>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</si>
  <si>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</si>
  <si>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</si>
  <si>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</si>
  <si>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</si>
  <si>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</si>
  <si>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</si>
  <si>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</si>
  <si>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</si>
  <si>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</si>
  <si>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</si>
  <si>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</si>
  <si>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</si>
  <si>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</si>
  <si>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</si>
  <si>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</si>
  <si>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</si>
  <si>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</si>
  <si>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</si>
  <si>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</si>
  <si>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</si>
  <si>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</si>
  <si>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</si>
  <si>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</si>
  <si>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</si>
  <si>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</si>
  <si>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</si>
  <si>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</si>
  <si>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</si>
  <si>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</si>
  <si>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</si>
  <si>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</si>
  <si>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</si>
  <si>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</si>
  <si>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</si>
  <si>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</si>
  <si>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</si>
  <si>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</si>
  <si>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</si>
  <si>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</si>
  <si>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</si>
  <si>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</si>
  <si>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</si>
  <si>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</si>
  <si>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</si>
  <si>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</si>
  <si>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</si>
  <si>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</si>
  <si>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</si>
  <si>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</si>
  <si>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</si>
  <si>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</si>
  <si>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</si>
  <si>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</si>
  <si>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</si>
  <si>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</si>
  <si>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</si>
  <si>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</si>
  <si>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</si>
  <si>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</si>
  <si>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</si>
  <si>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</si>
  <si>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</si>
  <si>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</si>
  <si>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</si>
  <si>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</si>
  <si>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</si>
  <si>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</si>
  <si>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</si>
  <si>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</si>
  <si>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</si>
  <si>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</si>
  <si>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</si>
  <si>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</si>
  <si>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</si>
  <si>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</si>
  <si>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</si>
  <si>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</si>
  <si>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</si>
  <si>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</si>
  <si>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</si>
  <si>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</si>
  <si>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</si>
  <si>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</si>
  <si>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</si>
  <si>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</si>
  <si>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</si>
  <si>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</si>
  <si>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</si>
  <si>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</si>
  <si>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</si>
  <si>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</si>
  <si>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</si>
  <si>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</si>
  <si>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</si>
  <si>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</si>
  <si>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</si>
  <si>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</si>
  <si>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</si>
  <si>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</si>
  <si>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</si>
  <si>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</si>
  <si>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</si>
  <si>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</si>
  <si>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</si>
  <si>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</si>
  <si>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</si>
  <si>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</si>
  <si>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</si>
  <si>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</si>
  <si>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</si>
  <si>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</si>
  <si>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</si>
  <si>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</si>
  <si>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</si>
  <si>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</si>
  <si>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</si>
  <si>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</si>
  <si>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</si>
  <si>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</si>
  <si>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</si>
  <si>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</si>
  <si>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</si>
  <si>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</si>
  <si>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</si>
  <si>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</si>
  <si>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</si>
  <si>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</si>
  <si>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</si>
  <si>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</si>
  <si>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</si>
  <si>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</si>
  <si>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</si>
  <si>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</si>
  <si>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</si>
  <si>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</si>
  <si>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</si>
  <si>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</si>
  <si>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</si>
  <si>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</si>
  <si>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</si>
  <si>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</si>
  <si>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</si>
  <si>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</si>
  <si>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</si>
  <si>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</si>
  <si>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</si>
  <si>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</si>
  <si>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</si>
  <si>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</si>
  <si>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</si>
  <si>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</si>
  <si>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</si>
  <si>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</si>
  <si>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</si>
  <si>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</si>
  <si>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</si>
  <si>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</si>
  <si>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</si>
  <si>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</si>
  <si>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</si>
  <si>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</si>
  <si>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</si>
  <si>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</si>
  <si>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</si>
  <si>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</si>
  <si>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</si>
  <si>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</si>
  <si>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</si>
  <si>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</si>
  <si>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</si>
  <si>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</si>
  <si>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</si>
  <si>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</si>
  <si>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</si>
  <si>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</si>
  <si>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</si>
  <si>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</si>
  <si>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</si>
  <si>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</si>
  <si>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</si>
  <si>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</si>
  <si>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</si>
  <si>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</si>
  <si>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</si>
  <si>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</si>
  <si>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</si>
  <si>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</si>
  <si>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</si>
  <si>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</si>
  <si>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</si>
  <si>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</si>
  <si>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</si>
  <si>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</si>
  <si>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</si>
  <si>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</si>
  <si>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</si>
  <si>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</si>
  <si>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</si>
  <si>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</si>
  <si>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</si>
  <si>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</si>
  <si>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</si>
  <si>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</si>
  <si>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</si>
  <si>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</si>
  <si>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</si>
  <si>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</si>
  <si>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</si>
  <si>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</si>
  <si>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</si>
  <si>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</si>
  <si>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</si>
  <si>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</si>
  <si>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</si>
  <si>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</si>
  <si>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</si>
  <si>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</si>
  <si>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</si>
  <si>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</si>
  <si>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</si>
  <si>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</si>
  <si>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</si>
  <si>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</si>
  <si>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</si>
  <si>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</si>
  <si>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</si>
  <si>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</si>
  <si>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</si>
  <si>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</si>
  <si>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</si>
  <si>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</si>
  <si>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</si>
  <si>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</si>
  <si>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</si>
  <si>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</si>
  <si>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</si>
  <si>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</si>
  <si>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</si>
  <si>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</si>
  <si>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</si>
  <si>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</si>
  <si>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</si>
  <si>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</si>
  <si>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</si>
  <si>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</si>
  <si>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</si>
  <si>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</si>
  <si>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</si>
  <si>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</si>
  <si>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</si>
  <si>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</si>
  <si>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</si>
  <si>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</si>
  <si>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</si>
  <si>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</si>
  <si>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</si>
  <si>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</si>
  <si>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</si>
  <si>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</si>
  <si>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</si>
  <si>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</si>
  <si>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</si>
  <si>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</si>
  <si>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</si>
  <si>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</si>
  <si>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</si>
  <si>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</si>
  <si>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</si>
  <si>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</si>
  <si>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</si>
  <si>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</si>
  <si>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</si>
  <si>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</si>
  <si>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</si>
  <si>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</si>
  <si>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</si>
  <si>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</si>
  <si>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</si>
  <si>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</si>
  <si>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</si>
  <si>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</si>
  <si>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</si>
  <si>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</si>
  <si>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</si>
  <si>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</si>
  <si>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</si>
  <si>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</si>
  <si>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</si>
  <si>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</si>
  <si>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</si>
  <si>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</si>
  <si>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</si>
  <si>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</si>
  <si>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</si>
  <si>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</si>
  <si>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</si>
  <si>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</si>
  <si>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</si>
  <si>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</si>
  <si>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</si>
  <si>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</si>
  <si>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</si>
  <si>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</si>
  <si>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</si>
  <si>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</si>
  <si>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</si>
  <si>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</si>
  <si>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</si>
  <si>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</si>
  <si>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</si>
  <si>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</si>
  <si>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</si>
  <si>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</si>
  <si>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</si>
  <si>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</si>
  <si>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</si>
  <si>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</si>
  <si>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</si>
  <si>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</si>
  <si>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</si>
  <si>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</si>
  <si>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</si>
  <si>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</si>
  <si>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</si>
  <si>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</si>
  <si>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</si>
  <si>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</si>
  <si>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</si>
  <si>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</si>
  <si>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</si>
  <si>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</si>
  <si>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</si>
  <si>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</si>
  <si>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</si>
  <si>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</si>
  <si>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</si>
  <si>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</si>
  <si>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</si>
  <si>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</si>
  <si>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</si>
  <si>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</si>
  <si>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</si>
  <si>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</si>
  <si>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</si>
  <si>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</si>
  <si>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</si>
  <si>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</si>
  <si>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</si>
  <si>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</si>
  <si>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</si>
  <si>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</si>
  <si>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</si>
  <si>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</si>
  <si>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</si>
  <si>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</si>
  <si>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</si>
  <si>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</si>
  <si>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</si>
  <si>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</si>
  <si>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</si>
  <si>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</si>
  <si>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</si>
  <si>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</si>
  <si>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</si>
  <si>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</si>
  <si>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</si>
  <si>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</si>
  <si>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</si>
  <si>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</si>
  <si>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</si>
  <si>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</si>
  <si>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</si>
  <si>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</si>
  <si>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</si>
  <si>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</si>
  <si>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</si>
  <si>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</si>
  <si>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</si>
  <si>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</si>
  <si>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</si>
  <si>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</si>
  <si>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</si>
  <si>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</si>
  <si>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</si>
  <si>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</si>
  <si>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</si>
  <si>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</si>
  <si>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</si>
  <si>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</si>
  <si>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</si>
  <si>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</si>
  <si>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</si>
  <si>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</si>
  <si>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</si>
  <si>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</si>
  <si>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</si>
  <si>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</si>
  <si>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</si>
  <si>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</si>
  <si>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</si>
  <si>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</si>
  <si>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</si>
  <si>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</si>
  <si>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</si>
  <si>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</si>
  <si>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</si>
  <si>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</si>
  <si>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</si>
  <si>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</si>
  <si>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</si>
  <si>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</si>
  <si>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</si>
  <si>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</si>
  <si>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</si>
  <si>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</si>
  <si>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</si>
  <si>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</si>
  <si>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</si>
  <si>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</si>
  <si>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</si>
  <si>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</si>
  <si>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</si>
  <si>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</si>
  <si>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</si>
  <si>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</si>
  <si>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</si>
  <si>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</si>
  <si>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</si>
  <si>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</si>
  <si>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</si>
  <si>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</si>
  <si>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</si>
  <si>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</si>
  <si>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</si>
  <si>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</si>
  <si>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</si>
  <si>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</si>
  <si>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</si>
  <si>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</si>
  <si>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</si>
  <si>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</si>
  <si>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</si>
  <si>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</si>
  <si>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</si>
  <si>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</si>
  <si>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</si>
  <si>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</si>
  <si>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</si>
  <si>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</si>
  <si>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</si>
  <si>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</si>
  <si>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</si>
  <si>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</si>
  <si>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</si>
  <si>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</si>
  <si>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</si>
  <si>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</si>
  <si>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</si>
  <si>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</si>
  <si>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</si>
  <si>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</si>
  <si>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</si>
  <si>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</si>
  <si>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</si>
  <si>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</si>
  <si>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</si>
  <si>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</si>
  <si>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</si>
  <si>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</si>
  <si>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</si>
  <si>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</si>
  <si>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</si>
  <si>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</si>
  <si>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</si>
  <si>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</si>
  <si>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</si>
  <si>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</si>
  <si>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</si>
  <si>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</si>
  <si>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</si>
  <si>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</si>
  <si>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</si>
  <si>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</si>
  <si>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</si>
  <si>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</si>
  <si>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</si>
  <si>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</si>
  <si>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</si>
  <si>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</si>
  <si>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</si>
  <si>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</si>
  <si>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</si>
  <si>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</si>
  <si>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</si>
  <si>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</si>
  <si>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</si>
  <si>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</si>
  <si>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</si>
  <si>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</si>
  <si>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</si>
  <si>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</si>
  <si>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</si>
  <si>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</si>
  <si>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</si>
  <si>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</si>
  <si>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</si>
  <si>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</si>
  <si>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</si>
  <si>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</si>
  <si>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</si>
  <si>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</si>
  <si>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</si>
  <si>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</si>
  <si>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</si>
  <si>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</si>
  <si>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</si>
  <si>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</si>
  <si>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</si>
  <si>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</si>
  <si>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</si>
  <si>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</si>
  <si>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</si>
  <si>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</si>
  <si>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</si>
  <si>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</si>
  <si>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</si>
  <si>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</si>
  <si>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</si>
  <si>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</si>
  <si>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</si>
  <si>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</si>
  <si>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</si>
  <si>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</si>
  <si>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</si>
  <si>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</si>
  <si>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</si>
  <si>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</si>
  <si>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</si>
  <si>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</si>
  <si>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</si>
  <si>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</si>
  <si>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</si>
  <si>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</si>
  <si>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</si>
  <si>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</si>
  <si>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</si>
  <si>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</si>
  <si>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</si>
  <si>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</si>
  <si>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</si>
  <si>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</si>
  <si>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</si>
  <si>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</si>
  <si>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</si>
  <si>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</si>
  <si>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</si>
  <si>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</si>
  <si>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</si>
  <si>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</si>
  <si>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</si>
  <si>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</si>
  <si>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</si>
  <si>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</si>
  <si>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</si>
  <si>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</si>
  <si>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</si>
  <si>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</si>
  <si>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</si>
  <si>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</si>
  <si>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</si>
  <si>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</si>
  <si>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</si>
  <si>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</si>
  <si>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</si>
  <si>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</si>
  <si>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</si>
  <si>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</si>
  <si>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</si>
  <si>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</si>
  <si>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</si>
  <si>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</si>
  <si>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</si>
  <si>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</si>
  <si>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</si>
  <si>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</si>
  <si>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</si>
  <si>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</si>
  <si>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</si>
  <si>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</si>
  <si>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</si>
  <si>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</si>
  <si>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</si>
  <si>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</si>
  <si>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</si>
  <si>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</si>
  <si>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</si>
  <si>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</si>
  <si>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</si>
  <si>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</si>
  <si>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</si>
  <si>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</si>
  <si>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</si>
  <si>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</si>
  <si>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</si>
  <si>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</si>
  <si>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</si>
  <si>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</si>
  <si>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</si>
  <si>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</si>
  <si>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</si>
  <si>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</si>
  <si>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</si>
  <si>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</si>
  <si>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</si>
  <si>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</si>
  <si>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</si>
  <si>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</si>
  <si>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</si>
  <si>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</si>
  <si>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</si>
  <si>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</si>
  <si>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</si>
  <si>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</si>
  <si>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</si>
  <si>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</si>
  <si>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</si>
  <si>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</si>
  <si>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</si>
  <si>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</si>
  <si>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</si>
  <si>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</si>
  <si>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</si>
  <si>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</si>
  <si>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</si>
  <si>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</si>
  <si>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</si>
  <si>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</si>
  <si>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</si>
  <si>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</si>
  <si>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</si>
  <si>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</si>
  <si>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</si>
  <si>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</si>
  <si>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</si>
  <si>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</si>
  <si>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</si>
  <si>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</si>
  <si>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</si>
  <si>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</si>
  <si>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</si>
  <si>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</si>
  <si>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</si>
  <si>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</si>
  <si>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</si>
  <si>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</si>
  <si>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</si>
  <si>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</si>
  <si>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</si>
  <si>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</si>
  <si>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</si>
  <si>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</si>
  <si>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</si>
  <si>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</si>
  <si>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</si>
  <si>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</si>
  <si>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</si>
  <si>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</si>
  <si>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</si>
  <si>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</si>
  <si>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</si>
  <si>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</si>
  <si>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</si>
  <si>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</si>
  <si>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</si>
  <si>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</si>
  <si>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</si>
  <si>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</si>
  <si>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</si>
  <si>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</si>
  <si>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</si>
  <si>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</si>
  <si>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</si>
  <si>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</si>
  <si>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</si>
  <si>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</si>
  <si>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</si>
  <si>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</si>
  <si>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</si>
  <si>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</si>
  <si>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</si>
  <si>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</si>
  <si>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</si>
  <si>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</si>
  <si>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</si>
  <si>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</si>
  <si>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</si>
  <si>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</si>
  <si>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</si>
  <si>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</si>
  <si>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</si>
  <si>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</si>
  <si>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</si>
  <si>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</si>
  <si>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</si>
  <si>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</si>
  <si>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</si>
  <si>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</si>
  <si>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</si>
  <si>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</si>
  <si>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</si>
  <si>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</si>
  <si>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</si>
  <si>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</si>
  <si>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</si>
  <si>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</si>
  <si>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</si>
  <si>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</si>
  <si>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</si>
  <si>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</si>
  <si>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</si>
  <si>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</si>
  <si>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</si>
  <si>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</si>
  <si>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</si>
  <si>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</si>
  <si>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</si>
  <si>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</si>
  <si>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</si>
  <si>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</si>
  <si>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</si>
  <si>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</si>
  <si>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</si>
  <si>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</si>
  <si>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</si>
  <si>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</si>
  <si>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</si>
  <si>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</si>
  <si>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</si>
  <si>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</si>
  <si>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</si>
  <si>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</si>
  <si>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</si>
  <si>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</si>
  <si>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</si>
  <si>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</si>
  <si>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</si>
  <si>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</si>
  <si>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</si>
  <si>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</si>
  <si>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</si>
  <si>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</si>
  <si>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</si>
  <si>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</si>
  <si>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</si>
  <si>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</si>
  <si>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</si>
  <si>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</si>
  <si>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</si>
  <si>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</si>
  <si>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</si>
  <si>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</si>
  <si>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</si>
  <si>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</si>
  <si>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</si>
  <si>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</si>
  <si>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</si>
  <si>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</si>
  <si>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</si>
  <si>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</si>
  <si>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</si>
  <si>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</si>
  <si>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</si>
  <si>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</si>
  <si>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</si>
  <si>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</si>
  <si>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</si>
  <si>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</si>
  <si>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</si>
  <si>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</si>
  <si>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</si>
  <si>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</si>
  <si>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</si>
  <si>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</si>
  <si>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</si>
  <si>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</si>
  <si>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</si>
  <si>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</si>
  <si>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</si>
  <si>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</si>
  <si>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</si>
  <si>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</si>
  <si>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</si>
  <si>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</si>
  <si>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</si>
  <si>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</si>
  <si>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</si>
  <si>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</si>
  <si>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</si>
  <si>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</si>
  <si>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</si>
  <si>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</si>
  <si>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</si>
  <si>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</si>
  <si>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</si>
  <si>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</si>
  <si>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</si>
  <si>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</si>
  <si>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</si>
  <si>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</si>
  <si>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</si>
  <si>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</si>
  <si>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</si>
  <si>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</si>
  <si>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</si>
  <si>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</si>
  <si>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</si>
  <si>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</si>
  <si>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</si>
  <si>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</si>
  <si>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</si>
  <si>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</si>
  <si>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</si>
  <si>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</si>
  <si>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</si>
  <si>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</si>
  <si>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</si>
  <si>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</si>
  <si>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</si>
  <si>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</si>
  <si>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</si>
  <si>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</si>
  <si>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</si>
  <si>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</si>
  <si>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</si>
  <si>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</si>
  <si>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</si>
  <si>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</si>
  <si>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</si>
  <si>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</si>
  <si>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</si>
  <si>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</si>
  <si>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</si>
  <si>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</si>
  <si>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</si>
  <si>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</si>
  <si>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</si>
  <si>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</si>
  <si>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</si>
  <si>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</si>
  <si>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</si>
  <si>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</si>
  <si>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</si>
  <si>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</si>
  <si>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</si>
  <si>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</si>
  <si>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</si>
  <si>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</si>
  <si>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</si>
  <si>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</si>
  <si>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</si>
  <si>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</si>
  <si>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</si>
  <si>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</si>
  <si>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</si>
  <si>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</si>
  <si>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</si>
  <si>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</si>
  <si>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</si>
  <si>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</si>
  <si>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</si>
  <si>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</si>
  <si>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</si>
  <si>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</si>
  <si>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</si>
  <si>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</si>
  <si>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</si>
  <si>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</si>
  <si>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</si>
  <si>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</si>
  <si>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</si>
  <si>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</si>
  <si>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</si>
  <si>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</si>
  <si>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</si>
  <si>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</si>
  <si>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</si>
  <si>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</si>
  <si>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</si>
  <si>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</si>
  <si>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</si>
  <si>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</si>
  <si>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</si>
  <si>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</si>
  <si>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</si>
  <si>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</si>
  <si>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</si>
  <si>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</si>
  <si>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</si>
  <si>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</si>
  <si>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</si>
  <si>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</si>
  <si>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</si>
  <si>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</si>
  <si>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</si>
  <si>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</si>
  <si>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</si>
  <si>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</si>
  <si>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</si>
  <si>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</si>
  <si>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</si>
  <si>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</si>
  <si>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</si>
  <si>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</si>
  <si>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</si>
  <si>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</si>
  <si>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</si>
  <si>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</si>
  <si>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</si>
  <si>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</si>
  <si>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</si>
  <si>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</si>
  <si>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</si>
  <si>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</si>
  <si>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</si>
  <si>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</si>
  <si>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</si>
  <si>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</si>
  <si>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</si>
  <si>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</si>
  <si>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</si>
  <si>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</si>
  <si>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</si>
  <si>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</si>
  <si>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</si>
  <si>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</si>
  <si>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</si>
  <si>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</si>
  <si>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</si>
  <si>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</si>
  <si>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</si>
  <si>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</si>
  <si>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</si>
  <si>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</si>
  <si>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</si>
  <si>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</si>
  <si>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</si>
  <si>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</si>
  <si>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</si>
  <si>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</si>
  <si>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</si>
  <si>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</si>
  <si>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</si>
  <si>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</si>
  <si>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</si>
  <si>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</si>
  <si>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</si>
  <si>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</si>
  <si>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</si>
  <si>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</si>
  <si>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</si>
  <si>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</si>
  <si>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</si>
  <si>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</si>
  <si>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</si>
  <si>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</si>
  <si>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</si>
  <si>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</si>
  <si>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</si>
  <si>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</si>
  <si>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</si>
  <si>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</si>
  <si>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</si>
  <si>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</si>
  <si>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</si>
  <si>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</si>
  <si>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</si>
  <si>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</si>
  <si>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</si>
  <si>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</si>
  <si>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</si>
  <si>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</si>
  <si>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</si>
  <si>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</si>
  <si>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</si>
  <si>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</si>
  <si>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</si>
  <si>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</si>
  <si>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</si>
  <si>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</si>
  <si>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</si>
  <si>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</si>
  <si>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</si>
  <si>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</si>
  <si>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</si>
  <si>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</si>
  <si>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</si>
  <si>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</si>
  <si>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</si>
  <si>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</si>
  <si>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</si>
  <si>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</si>
  <si>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</si>
  <si>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</si>
  <si>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</si>
  <si>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</si>
  <si>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</si>
  <si>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</si>
  <si>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</si>
  <si>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</si>
  <si>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</si>
  <si>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</si>
  <si>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</si>
  <si>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</si>
  <si>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</si>
  <si>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</si>
  <si>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</si>
  <si>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</si>
  <si>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</si>
  <si>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</si>
  <si>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</si>
  <si>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</si>
  <si>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</si>
  <si>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</si>
  <si>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</si>
  <si>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</si>
  <si>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</si>
  <si>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</si>
  <si>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</si>
  <si>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</si>
  <si>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</si>
  <si>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</si>
  <si>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</si>
  <si>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</si>
  <si>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</si>
  <si>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</si>
  <si>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</si>
  <si>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</si>
  <si>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</si>
  <si>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</si>
  <si>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</si>
  <si>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</si>
  <si>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</si>
  <si>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</si>
  <si>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</si>
  <si>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</si>
  <si>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</si>
  <si>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</si>
  <si>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</si>
  <si>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</si>
  <si>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</si>
  <si>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</si>
  <si>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</si>
  <si>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</si>
  <si>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</si>
  <si>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</si>
  <si>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</si>
  <si>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</si>
  <si>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</si>
  <si>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</si>
  <si>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</si>
  <si>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</si>
  <si>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</si>
  <si>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</si>
  <si>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</si>
  <si>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</si>
  <si>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</si>
  <si>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</si>
  <si>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</si>
  <si>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</si>
  <si>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</si>
  <si>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</si>
  <si>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</si>
  <si>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</si>
  <si>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</si>
  <si>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</si>
  <si>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</si>
  <si>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</si>
  <si>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</si>
  <si>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</si>
  <si>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</si>
  <si>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</si>
  <si>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</si>
  <si>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</si>
  <si>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</si>
  <si>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</si>
  <si>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</si>
  <si>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</si>
  <si>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</si>
  <si>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</si>
  <si>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</si>
  <si>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</si>
  <si>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</si>
  <si>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</si>
  <si>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</si>
  <si>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</si>
  <si>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</si>
  <si>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</si>
  <si>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</si>
  <si>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</si>
  <si>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</si>
  <si>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</si>
  <si>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</si>
  <si>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</si>
  <si>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</si>
  <si>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</si>
  <si>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</si>
  <si>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</si>
  <si>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</si>
  <si>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</si>
  <si>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</si>
  <si>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</si>
  <si>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</si>
  <si>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</si>
  <si>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</si>
  <si>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</si>
  <si>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</si>
  <si>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</si>
  <si>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</si>
  <si>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</si>
  <si>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</si>
  <si>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</si>
  <si>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</si>
  <si>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</si>
  <si>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</si>
  <si>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</si>
  <si>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</si>
  <si>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</si>
  <si>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</si>
  <si>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</si>
  <si>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</si>
  <si>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</si>
  <si>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</si>
  <si>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</si>
  <si>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</si>
  <si>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</si>
  <si>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</si>
  <si>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</si>
  <si>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</si>
  <si>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</si>
  <si>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</si>
  <si>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</si>
  <si>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</si>
  <si>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</si>
  <si>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</si>
  <si>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</si>
  <si>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</si>
  <si>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</si>
  <si>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</si>
  <si>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</si>
  <si>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</si>
  <si>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</si>
  <si>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</si>
  <si>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</si>
  <si>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</si>
  <si>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</si>
  <si>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</si>
  <si>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</si>
  <si>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</si>
  <si>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</si>
  <si>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</si>
  <si>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</si>
  <si>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</si>
  <si>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</si>
  <si>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</si>
  <si>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</si>
  <si>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</si>
  <si>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</si>
  <si>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</si>
  <si>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</si>
  <si>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</si>
  <si>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</si>
  <si>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</si>
  <si>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</si>
  <si>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</si>
  <si>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</si>
  <si>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</si>
  <si>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</si>
  <si>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</si>
  <si>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</si>
  <si>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</si>
  <si>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</si>
  <si>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</si>
  <si>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</si>
  <si>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</si>
  <si>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</si>
  <si>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</si>
  <si>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</si>
  <si>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</si>
  <si>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</si>
  <si>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</si>
  <si>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</si>
  <si>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</si>
  <si>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</si>
  <si>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</si>
  <si>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</si>
  <si>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</si>
  <si>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</si>
  <si>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</si>
  <si>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</si>
  <si>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</si>
  <si>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</si>
  <si>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</si>
  <si>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</si>
  <si>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</si>
  <si>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</si>
  <si>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</si>
  <si>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</si>
  <si>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</si>
  <si>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</si>
  <si>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</si>
  <si>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</si>
  <si>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</si>
  <si>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</si>
  <si>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</si>
  <si>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</si>
  <si>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</si>
  <si>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</si>
  <si>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</si>
  <si>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</si>
  <si>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</si>
  <si>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</si>
  <si>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</si>
  <si>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</si>
  <si>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</si>
  <si>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</si>
  <si>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</si>
  <si>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</si>
  <si>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</si>
  <si>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</si>
  <si>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</si>
  <si>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</si>
  <si>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</si>
  <si>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</si>
  <si>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</si>
  <si>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</si>
  <si>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</si>
  <si>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</si>
  <si>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</si>
  <si>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</si>
  <si>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</si>
  <si>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</si>
  <si>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</si>
  <si>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</si>
  <si>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</si>
  <si>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</si>
  <si>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</si>
  <si>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</si>
  <si>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</si>
  <si>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</si>
  <si>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</si>
  <si>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</si>
  <si>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</si>
  <si>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</si>
  <si>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</si>
  <si>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</si>
  <si>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</si>
  <si>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</si>
  <si>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</si>
  <si>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</si>
  <si>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</si>
  <si>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</si>
  <si>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</si>
  <si>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</si>
  <si>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</si>
  <si>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</si>
  <si>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</si>
  <si>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</si>
  <si>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</si>
  <si>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</si>
  <si>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</si>
  <si>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</si>
  <si>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</si>
  <si>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</si>
  <si>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</si>
  <si>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</si>
  <si>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</si>
  <si>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</si>
  <si>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</si>
  <si>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</si>
  <si>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</si>
  <si>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</si>
  <si>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</si>
  <si>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</si>
  <si>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</si>
  <si>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</si>
  <si>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</si>
  <si>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</si>
  <si>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</si>
  <si>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</si>
  <si>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</si>
  <si>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</si>
  <si>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</si>
  <si>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</si>
  <si>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</si>
  <si>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</si>
  <si>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</si>
  <si>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</si>
  <si>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</si>
  <si>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</si>
  <si>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</si>
  <si>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</si>
  <si>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</si>
  <si>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</si>
  <si>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</si>
  <si>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</si>
  <si>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</si>
  <si>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</si>
  <si>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</si>
  <si>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</si>
  <si>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</si>
  <si>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</si>
  <si>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</si>
  <si>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</si>
  <si>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</si>
  <si>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</si>
  <si>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</si>
  <si>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</si>
  <si>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</si>
  <si>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</si>
  <si>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</si>
  <si>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</si>
  <si>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</si>
  <si>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</si>
  <si>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</si>
  <si>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</si>
  <si>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</si>
  <si>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</si>
  <si>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</si>
  <si>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</si>
  <si>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</si>
  <si>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</si>
  <si>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</si>
  <si>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</si>
  <si>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</si>
  <si>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</si>
  <si>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</si>
  <si>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</si>
  <si>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</si>
  <si>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</si>
  <si>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</si>
  <si>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</si>
  <si>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</si>
  <si>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</si>
  <si>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</si>
  <si>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</si>
  <si>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</si>
  <si>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</si>
  <si>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</si>
  <si>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</si>
  <si>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</si>
  <si>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</si>
  <si>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</si>
  <si>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</si>
  <si>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</si>
  <si>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</si>
  <si>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</si>
  <si>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</si>
  <si>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</si>
  <si>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</si>
  <si>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</si>
  <si>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</si>
  <si>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</si>
  <si>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</si>
  <si>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</si>
  <si>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</si>
  <si>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</si>
  <si>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</si>
  <si>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</si>
  <si>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</si>
  <si>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</si>
  <si>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</si>
  <si>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</si>
  <si>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</si>
  <si>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</si>
  <si>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</si>
  <si>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</si>
  <si>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</si>
  <si>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</si>
  <si>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</si>
  <si>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</si>
  <si>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</si>
  <si>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</si>
  <si>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</si>
  <si>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</si>
  <si>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</si>
  <si>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</si>
  <si>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</si>
  <si>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</si>
  <si>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</si>
  <si>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</si>
  <si>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</si>
  <si>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</si>
  <si>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</si>
  <si>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</si>
  <si>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</si>
  <si>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</si>
  <si>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</si>
  <si>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</si>
  <si>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</si>
  <si>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</si>
  <si>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</si>
  <si>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</si>
  <si>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</si>
  <si>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</si>
  <si>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</si>
  <si>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</si>
  <si>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</si>
  <si>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</si>
  <si>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</si>
  <si>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</si>
  <si>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</si>
  <si>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</si>
  <si>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</si>
  <si>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</si>
  <si>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</si>
  <si>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</si>
  <si>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</si>
  <si>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</si>
  <si>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</si>
  <si>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</si>
  <si>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</si>
  <si>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</si>
  <si>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</si>
  <si>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</si>
  <si>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</si>
  <si>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</si>
  <si>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</si>
  <si>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</si>
  <si>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</si>
  <si>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</si>
  <si>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</si>
  <si>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</si>
  <si>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</si>
  <si>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</si>
  <si>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</si>
  <si>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</si>
  <si>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</si>
  <si>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</si>
  <si>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</si>
  <si>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</si>
  <si>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</si>
  <si>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</si>
  <si>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</si>
  <si>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</si>
  <si>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</si>
  <si>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</si>
  <si>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</si>
  <si>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</si>
  <si>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</si>
  <si>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</si>
  <si>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</si>
  <si>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</si>
  <si>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</si>
  <si>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</si>
  <si>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</si>
  <si>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</si>
  <si>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</si>
  <si>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</si>
  <si>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</si>
  <si>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</si>
  <si>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</si>
  <si>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</si>
  <si>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</si>
  <si>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</si>
  <si>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</si>
  <si>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</si>
  <si>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</si>
  <si>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</si>
  <si>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</si>
  <si>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</si>
  <si>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</si>
  <si>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</si>
  <si>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</si>
  <si>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</si>
  <si>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</si>
  <si>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</si>
  <si>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</si>
  <si>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</si>
  <si>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</si>
  <si>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</si>
  <si>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</si>
  <si>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</si>
  <si>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</si>
  <si>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</si>
  <si>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</si>
  <si>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</si>
  <si>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</si>
  <si>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</si>
  <si>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</si>
  <si>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</si>
  <si>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</si>
  <si>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</si>
  <si>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</si>
  <si>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</si>
  <si>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</si>
  <si>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</si>
  <si>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</si>
  <si>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</si>
  <si>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</si>
  <si>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</si>
  <si>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</si>
  <si>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</si>
  <si>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</si>
  <si>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</si>
  <si>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</si>
  <si>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</si>
  <si>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</si>
  <si>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</si>
  <si>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</si>
  <si>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</si>
  <si>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</si>
  <si>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</si>
  <si>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</si>
  <si>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</si>
  <si>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</si>
  <si>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</si>
  <si>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</si>
  <si>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</si>
  <si>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</si>
  <si>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</si>
  <si>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</si>
  <si>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</si>
  <si>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</si>
  <si>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</si>
  <si>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</si>
  <si>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</si>
  <si>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</si>
  <si>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</si>
  <si>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</si>
  <si>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</si>
  <si>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</si>
  <si>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</si>
  <si>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</si>
  <si>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</si>
  <si>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</si>
  <si>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</si>
  <si>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</si>
  <si>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</si>
  <si>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</si>
  <si>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</si>
  <si>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</si>
  <si>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</si>
  <si>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</si>
  <si>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</si>
  <si>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</si>
  <si>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</si>
  <si>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</si>
  <si>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</si>
  <si>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</si>
  <si>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</si>
  <si>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</si>
  <si>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</si>
  <si>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</si>
  <si>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</si>
  <si>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</si>
  <si>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</si>
  <si>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</si>
  <si>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</si>
  <si>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</si>
  <si>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</si>
  <si>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</si>
  <si>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</si>
  <si>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</si>
  <si>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</si>
  <si>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</si>
  <si>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</si>
  <si>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</si>
  <si>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</si>
  <si>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</si>
  <si>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</si>
  <si>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</si>
  <si>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</si>
  <si>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</si>
  <si>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</si>
  <si>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</si>
  <si>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</si>
  <si>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</si>
  <si>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</si>
  <si>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</si>
  <si>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</si>
  <si>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</si>
  <si>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</si>
  <si>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</si>
  <si>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</si>
  <si>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</si>
  <si>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</si>
  <si>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</si>
  <si>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</si>
  <si>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</si>
  <si>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</si>
  <si>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</si>
  <si>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</si>
  <si>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</si>
  <si>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</si>
  <si>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</si>
  <si>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</si>
  <si>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</si>
  <si>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</si>
  <si>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</si>
  <si>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</si>
  <si>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</si>
  <si>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</si>
  <si>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</si>
  <si>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</si>
  <si>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</si>
  <si>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</si>
  <si>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</si>
  <si>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</si>
  <si>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</si>
  <si>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</si>
  <si>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</si>
  <si>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</si>
  <si>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</si>
  <si>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</si>
  <si>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</si>
  <si>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</si>
  <si>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</si>
  <si>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</si>
  <si>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</si>
  <si>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</si>
  <si>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</si>
  <si>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</si>
  <si>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</si>
  <si>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</si>
  <si>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</si>
  <si>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</si>
  <si>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</si>
  <si>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</si>
  <si>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</si>
  <si>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</si>
  <si>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</si>
  <si>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</si>
  <si>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</si>
  <si>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</si>
  <si>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</si>
  <si>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</si>
  <si>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</si>
  <si>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</si>
  <si>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</si>
  <si>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</si>
  <si>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</si>
  <si>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</si>
  <si>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</si>
  <si>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</si>
  <si>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</si>
  <si>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</si>
  <si>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</si>
  <si>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</si>
  <si>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</si>
  <si>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</si>
  <si>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</si>
  <si>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</si>
  <si>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</si>
  <si>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</si>
  <si>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</si>
  <si>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</si>
  <si>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</si>
  <si>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</si>
  <si>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</si>
  <si>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</si>
  <si>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</si>
  <si>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</si>
  <si>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</si>
  <si>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</si>
  <si>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</si>
  <si>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</si>
  <si>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</si>
  <si>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</si>
  <si>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</si>
  <si>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</si>
  <si>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</si>
  <si>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</si>
  <si>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</si>
  <si>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</si>
  <si>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</si>
  <si>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</si>
  <si>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</si>
  <si>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</si>
  <si>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</si>
  <si>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</si>
  <si>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</si>
  <si>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</si>
  <si>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</si>
  <si>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</si>
  <si>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</si>
  <si>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</si>
  <si>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</si>
  <si>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</si>
  <si>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</si>
  <si>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</si>
  <si>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</si>
  <si>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</si>
  <si>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</si>
  <si>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</si>
  <si>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</si>
  <si>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</si>
  <si>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</si>
  <si>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</si>
  <si>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</si>
  <si>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</si>
  <si>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</si>
  <si>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</si>
  <si>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</si>
  <si>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</si>
  <si>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</si>
  <si>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</si>
  <si>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</si>
  <si>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</si>
  <si>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</si>
  <si>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</si>
  <si>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</si>
  <si>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</si>
  <si>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</si>
  <si>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</si>
  <si>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</si>
  <si>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</si>
  <si>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</si>
  <si>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</si>
  <si>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</si>
  <si>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</si>
  <si>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</si>
  <si>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</si>
  <si>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</si>
  <si>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</si>
  <si>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</si>
  <si>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</si>
  <si>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</si>
  <si>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</si>
  <si>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</si>
  <si>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</si>
  <si>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</si>
  <si>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</si>
  <si>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</si>
  <si>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</si>
  <si>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</si>
  <si>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</si>
  <si>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</si>
  <si>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</si>
  <si>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</si>
  <si>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</si>
  <si>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</si>
  <si>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</si>
  <si>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</si>
  <si>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</si>
  <si>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</si>
  <si>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</si>
  <si>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</si>
  <si>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</si>
  <si>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</si>
  <si>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</si>
  <si>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</si>
  <si>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</si>
  <si>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</si>
  <si>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</si>
  <si>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</si>
  <si>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</si>
  <si>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</si>
  <si>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</si>
  <si>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</si>
  <si>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</si>
  <si>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</si>
  <si>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</si>
  <si>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</si>
  <si>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</si>
  <si>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</si>
  <si>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</si>
  <si>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</si>
  <si>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</si>
  <si>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</si>
  <si>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</si>
  <si>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</si>
  <si>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</si>
  <si>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</si>
  <si>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</si>
  <si>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</si>
  <si>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</si>
  <si>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</si>
  <si>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</si>
  <si>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</si>
  <si>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</si>
  <si>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</si>
  <si>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</si>
  <si>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</si>
  <si>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</si>
  <si>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</si>
  <si>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</si>
  <si>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</si>
  <si>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</si>
  <si>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</si>
  <si>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</si>
  <si>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</si>
  <si>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</si>
  <si>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</si>
  <si>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</si>
  <si>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</si>
  <si>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</si>
  <si>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</si>
  <si>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</si>
  <si>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</si>
  <si>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</si>
  <si>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</si>
  <si>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</si>
  <si>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</si>
  <si>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</si>
  <si>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</si>
  <si>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</si>
  <si>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</si>
  <si>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</si>
  <si>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</si>
  <si>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</si>
  <si>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</si>
  <si>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</si>
  <si>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</si>
  <si>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</si>
  <si>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</si>
  <si>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</si>
  <si>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</si>
  <si>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</si>
  <si>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</si>
  <si>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</si>
  <si>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</si>
  <si>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</si>
  <si>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</si>
  <si>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</si>
  <si>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</si>
  <si>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</si>
  <si>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</si>
  <si>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</si>
  <si>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</si>
  <si>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</si>
  <si>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</si>
  <si>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</si>
  <si>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</si>
  <si>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</si>
  <si>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</si>
  <si>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</si>
  <si>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</si>
  <si>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</si>
  <si>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</si>
  <si>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</si>
  <si>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</si>
  <si>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</si>
  <si>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</si>
  <si>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</si>
  <si>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</si>
  <si>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</si>
  <si>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</si>
  <si>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</si>
  <si>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</si>
  <si>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</si>
  <si>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</si>
  <si>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</si>
  <si>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</si>
  <si>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</si>
  <si>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</si>
  <si>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</si>
  <si>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</si>
  <si>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</si>
  <si>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</si>
  <si>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</si>
  <si>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</si>
  <si>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</si>
  <si>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</si>
  <si>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</si>
  <si>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</si>
  <si>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</si>
  <si>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</si>
  <si>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</si>
  <si>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</si>
  <si>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</si>
  <si>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</si>
  <si>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</si>
  <si>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</si>
  <si>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</si>
  <si>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</si>
  <si>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</si>
  <si>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</si>
  <si>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</si>
  <si>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</si>
  <si>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</si>
  <si>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</si>
  <si>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</si>
  <si>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</si>
  <si>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</si>
  <si>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</si>
  <si>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</si>
  <si>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</si>
  <si>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</si>
  <si>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</si>
  <si>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</si>
  <si>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</si>
  <si>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</si>
  <si>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</si>
  <si>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</si>
  <si>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</si>
  <si>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</si>
  <si>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</si>
  <si>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</si>
  <si>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</si>
  <si>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</si>
  <si>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</si>
  <si>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</si>
  <si>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</si>
  <si>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</si>
  <si>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</si>
  <si>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</si>
  <si>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</si>
  <si>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</si>
  <si>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</si>
  <si>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</si>
  <si>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</si>
  <si>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</si>
  <si>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</si>
  <si>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</si>
  <si>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</si>
  <si>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</si>
  <si>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</si>
  <si>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</si>
  <si>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</si>
  <si>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</si>
  <si>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</si>
  <si>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</si>
  <si>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</si>
  <si>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</si>
  <si>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</si>
  <si>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</si>
  <si>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</si>
  <si>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</si>
  <si>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</si>
  <si>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</si>
  <si>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</si>
  <si>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</si>
  <si>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</si>
  <si>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</si>
  <si>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</si>
  <si>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</si>
  <si>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</si>
  <si>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</si>
  <si>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</si>
  <si>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</si>
  <si>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</si>
  <si>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</si>
  <si>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</si>
  <si>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</si>
  <si>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</si>
  <si>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</si>
  <si>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</si>
  <si>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</si>
  <si>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</si>
  <si>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</si>
  <si>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</si>
  <si>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</si>
  <si>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</si>
  <si>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</si>
  <si>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</si>
  <si>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</si>
  <si>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</si>
  <si>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</si>
  <si>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</si>
  <si>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</si>
  <si>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</si>
  <si>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</si>
  <si>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</si>
  <si>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</si>
  <si>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</si>
  <si>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</si>
  <si>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</si>
  <si>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</si>
  <si>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</si>
  <si>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</si>
  <si>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</si>
  <si>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</si>
  <si>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</si>
  <si>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</si>
  <si>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</si>
  <si>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</si>
  <si>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</si>
  <si>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</si>
  <si>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</si>
  <si>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</si>
  <si>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</si>
  <si>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</si>
  <si>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</si>
  <si>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</si>
  <si>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</si>
  <si>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</si>
  <si>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</si>
  <si>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</si>
  <si>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</si>
  <si>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</si>
  <si>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</si>
  <si>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</si>
  <si>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</si>
  <si>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</si>
  <si>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</si>
  <si>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</si>
  <si>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</si>
  <si>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</si>
  <si>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</si>
  <si>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</si>
  <si>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</si>
  <si>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</si>
  <si>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</si>
  <si>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</si>
  <si>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</si>
  <si>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</si>
  <si>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</si>
  <si>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</si>
  <si>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</si>
  <si>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</si>
  <si>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</si>
  <si>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</si>
  <si>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</si>
  <si>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</si>
  <si>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</si>
  <si>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</si>
  <si>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</si>
  <si>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</si>
  <si>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</si>
  <si>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</si>
  <si>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</si>
  <si>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</si>
  <si>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</si>
  <si>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</si>
  <si>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</si>
  <si>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</si>
  <si>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</si>
  <si>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</si>
  <si>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</si>
  <si>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</si>
  <si>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</si>
  <si>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</si>
  <si>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</si>
  <si>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</si>
  <si>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</si>
  <si>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</si>
  <si>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</si>
  <si>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</si>
  <si>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</si>
  <si>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</si>
  <si>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</si>
  <si>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</si>
  <si>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</si>
  <si>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</si>
  <si>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</si>
  <si>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</si>
  <si>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</si>
  <si>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</si>
  <si>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</si>
  <si>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</si>
  <si>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</si>
  <si>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</si>
  <si>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</si>
  <si>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</si>
  <si>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</si>
  <si>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</si>
  <si>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</si>
  <si>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</si>
  <si>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</si>
  <si>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</si>
  <si>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</si>
  <si>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</si>
  <si>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</si>
  <si>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</si>
  <si>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</si>
  <si>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</si>
  <si>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</si>
  <si>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</si>
  <si>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</si>
  <si>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</si>
  <si>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</si>
  <si>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</si>
  <si>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</si>
  <si>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</si>
  <si>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</si>
  <si>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</si>
  <si>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</si>
  <si>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</si>
  <si>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</si>
  <si>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</si>
  <si>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</si>
  <si>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</si>
  <si>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</si>
  <si>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</si>
  <si>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</si>
  <si>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</si>
  <si>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</si>
  <si>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</si>
  <si>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</si>
  <si>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</si>
  <si>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</si>
  <si>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</si>
  <si>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</si>
  <si>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</si>
  <si>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</si>
  <si>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</si>
  <si>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</si>
  <si>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</si>
  <si>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</si>
  <si>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</si>
  <si>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</si>
  <si>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</si>
  <si>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</si>
  <si>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</si>
  <si>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</si>
  <si>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</si>
  <si>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</si>
  <si>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</si>
  <si>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</si>
  <si>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</si>
  <si>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</si>
  <si>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</si>
  <si>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</si>
  <si>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</si>
  <si>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</si>
  <si>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</si>
  <si>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</si>
  <si>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</si>
  <si>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</si>
  <si>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</si>
  <si>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</si>
  <si>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</si>
  <si>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</si>
  <si>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</si>
  <si>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</si>
  <si>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</si>
  <si>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</si>
  <si>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</si>
  <si>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</si>
  <si>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</si>
  <si>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</si>
  <si>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</si>
  <si>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</si>
  <si>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</si>
  <si>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</si>
  <si>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</si>
  <si>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</si>
  <si>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</si>
  <si>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</si>
  <si>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</si>
  <si>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</si>
  <si>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</si>
  <si>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</si>
  <si>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</si>
  <si>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</si>
  <si>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</si>
  <si>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</si>
  <si>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</si>
  <si>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</si>
  <si>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</si>
  <si>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</si>
  <si>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</si>
  <si>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</si>
  <si>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</si>
  <si>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</si>
  <si>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</si>
  <si>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</si>
  <si>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</si>
  <si>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</si>
  <si>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</si>
  <si>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</si>
  <si>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</si>
  <si>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</si>
  <si>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</si>
  <si>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</si>
  <si>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</si>
  <si>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</si>
  <si>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</si>
  <si>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</si>
  <si>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</si>
  <si>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</si>
  <si>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</si>
  <si>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</si>
  <si>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</si>
  <si>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</si>
  <si>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</si>
  <si>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</si>
  <si>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</si>
  <si>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</si>
  <si>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</si>
  <si>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</si>
  <si>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</si>
  <si>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</si>
  <si>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</si>
  <si>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</si>
  <si>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</si>
  <si>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</si>
  <si>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</si>
  <si>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</si>
  <si>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</si>
  <si>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</si>
  <si>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</si>
  <si>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</si>
  <si>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</si>
  <si>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</si>
  <si>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</si>
  <si>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</si>
  <si>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</si>
  <si>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</si>
  <si>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</si>
  <si>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</si>
  <si>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</si>
  <si>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</si>
  <si>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</si>
  <si>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</si>
  <si>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</si>
  <si>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</si>
  <si>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</si>
  <si>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</si>
  <si>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</si>
  <si>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</si>
  <si>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</si>
  <si>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</si>
  <si>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</si>
  <si>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</si>
  <si>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</si>
  <si>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</si>
  <si>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</si>
  <si>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</si>
  <si>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</si>
  <si>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</si>
  <si>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</si>
  <si>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</si>
  <si>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</si>
  <si>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</si>
  <si>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</si>
  <si>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</si>
  <si>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</si>
  <si>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</si>
  <si>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</si>
  <si>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</si>
  <si>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</si>
  <si>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</si>
  <si>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</si>
  <si>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</si>
  <si>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</si>
  <si>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</si>
  <si>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</si>
  <si>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</si>
  <si>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</si>
  <si>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</si>
  <si>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</si>
  <si>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</si>
  <si>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</si>
  <si>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</si>
  <si>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</si>
  <si>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</si>
  <si>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</si>
  <si>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</si>
  <si>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</si>
  <si>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</si>
  <si>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</si>
  <si>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</si>
  <si>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</si>
  <si>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</si>
  <si>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</si>
  <si>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</si>
  <si>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</si>
  <si>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</si>
  <si>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</si>
  <si>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</si>
  <si>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</si>
  <si>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</si>
  <si>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</si>
  <si>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</si>
  <si>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</si>
  <si>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</si>
  <si>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</si>
  <si>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</si>
  <si>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</si>
  <si>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</si>
  <si>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</si>
  <si>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</si>
  <si>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</si>
  <si>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</si>
  <si>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</si>
  <si>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</si>
  <si>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</si>
  <si>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</si>
  <si>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</si>
  <si>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</si>
  <si>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</si>
  <si>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</si>
  <si>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</si>
  <si>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</si>
  <si>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</si>
  <si>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</si>
  <si>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</si>
  <si>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</si>
  <si>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</si>
  <si>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</si>
  <si>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</si>
  <si>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</si>
  <si>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</si>
  <si>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</si>
  <si>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</si>
  <si>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</si>
  <si>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</si>
  <si>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</si>
  <si>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</si>
  <si>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</si>
  <si>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</si>
  <si>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</si>
  <si>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</si>
  <si>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</si>
  <si>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</si>
  <si>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</si>
  <si>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</si>
  <si>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</si>
  <si>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</si>
  <si>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</si>
  <si>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</si>
  <si>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</si>
  <si>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</si>
  <si>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</si>
  <si>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</si>
  <si>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</si>
  <si>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</si>
  <si>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</si>
  <si>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</si>
  <si>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</si>
  <si>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</si>
  <si>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</si>
  <si>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</si>
  <si>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</si>
  <si>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</si>
  <si>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</si>
  <si>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</si>
  <si>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</si>
  <si>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</si>
  <si>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</si>
  <si>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</si>
  <si>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</si>
  <si>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</si>
  <si>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</si>
  <si>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</si>
  <si>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</si>
  <si>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</si>
  <si>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</si>
  <si>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</si>
  <si>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</si>
  <si>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</si>
  <si>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</si>
  <si>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</si>
  <si>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</si>
  <si>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</si>
  <si>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</si>
  <si>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</si>
  <si>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</si>
  <si>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</si>
  <si>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</si>
  <si>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</si>
  <si>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</si>
  <si>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</si>
  <si>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</si>
  <si>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</si>
  <si>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</si>
  <si>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</si>
  <si>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</si>
  <si>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</si>
  <si>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</si>
  <si>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</si>
  <si>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</si>
  <si>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</si>
  <si>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</si>
  <si>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</si>
  <si>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</si>
  <si>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</si>
  <si>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</si>
  <si>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</si>
  <si>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</si>
  <si>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</si>
  <si>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</si>
  <si>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</si>
  <si>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</si>
  <si>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</si>
  <si>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</si>
  <si>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</si>
  <si>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</si>
  <si>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</si>
  <si>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</si>
  <si>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</si>
  <si>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</si>
  <si>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</si>
  <si>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</si>
  <si>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</si>
  <si>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</si>
  <si>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</si>
  <si>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</si>
  <si>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</si>
  <si>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</si>
  <si>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</si>
  <si>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</si>
  <si>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</si>
  <si>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</si>
  <si>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</si>
  <si>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</si>
  <si>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</si>
  <si>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</si>
  <si>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</si>
  <si>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</si>
  <si>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</si>
  <si>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</si>
  <si>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</si>
  <si>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</si>
  <si>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</si>
  <si>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</si>
  <si>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</si>
  <si>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</si>
  <si>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</si>
  <si>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</si>
  <si>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</si>
  <si>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</si>
  <si>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</si>
  <si>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</si>
  <si>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</si>
  <si>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</si>
  <si>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</si>
  <si>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</si>
  <si>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</si>
  <si>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</si>
  <si>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</si>
  <si>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</si>
  <si>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</si>
  <si>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</si>
  <si>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</si>
  <si>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</si>
  <si>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</si>
  <si>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</si>
  <si>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</si>
  <si>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</si>
  <si>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</si>
  <si>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</si>
  <si>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</si>
  <si>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</si>
  <si>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</si>
  <si>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</si>
  <si>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</si>
  <si>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</si>
  <si>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</si>
  <si>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</si>
  <si>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</si>
  <si>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</si>
  <si>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</si>
  <si>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</si>
  <si>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</si>
  <si>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</si>
  <si>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</si>
  <si>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</si>
  <si>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</si>
  <si>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</si>
  <si>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</si>
  <si>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</si>
  <si>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</si>
  <si>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</si>
  <si>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</si>
  <si>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</si>
  <si>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</si>
  <si>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</si>
  <si>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</si>
  <si>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</si>
  <si>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</si>
  <si>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</si>
  <si>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</si>
  <si>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</si>
  <si>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</si>
  <si>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</si>
  <si>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</si>
  <si>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</si>
  <si>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</si>
  <si>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</si>
  <si>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</si>
  <si>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</si>
  <si>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</si>
  <si>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</si>
  <si>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</si>
  <si>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</si>
  <si>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</si>
  <si>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</si>
  <si>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</si>
  <si>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</si>
  <si>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</si>
  <si>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</si>
  <si>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</si>
  <si>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</si>
  <si>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</si>
  <si>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</si>
  <si>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</si>
  <si>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</si>
  <si>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</si>
  <si>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</si>
  <si>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</si>
  <si>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</si>
  <si>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</si>
  <si>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</si>
  <si>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</si>
  <si>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</si>
  <si>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</si>
  <si>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</si>
  <si>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</si>
  <si>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</si>
  <si>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</si>
  <si>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</si>
  <si>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</si>
  <si>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</si>
  <si>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</si>
  <si>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</si>
  <si>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</si>
  <si>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</si>
  <si>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</si>
  <si>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</si>
  <si>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</si>
  <si>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</si>
  <si>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</si>
  <si>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</si>
  <si>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</si>
  <si>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</si>
  <si>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</si>
  <si>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</si>
  <si>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</si>
  <si>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</si>
  <si>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</si>
  <si>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</si>
  <si>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</si>
  <si>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</si>
  <si>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</si>
  <si>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</si>
  <si>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</si>
  <si>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</si>
  <si>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</si>
  <si>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</si>
  <si>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</si>
  <si>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</si>
  <si>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</si>
  <si>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</si>
  <si>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</si>
  <si>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</si>
  <si>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</si>
  <si>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</si>
  <si>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</si>
  <si>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</si>
  <si>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</si>
  <si>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</si>
  <si>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</si>
  <si>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</si>
  <si>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</si>
  <si>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</si>
  <si>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</si>
  <si>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</si>
  <si>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</si>
  <si>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</si>
  <si>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</si>
  <si>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</si>
  <si>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</si>
  <si>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</si>
  <si>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</si>
  <si>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</si>
  <si>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</si>
  <si>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</si>
  <si>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</si>
  <si>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</si>
  <si>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</si>
  <si>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</si>
  <si>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</si>
  <si>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</si>
  <si>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</si>
  <si>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</si>
  <si>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</si>
  <si>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</si>
  <si>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</si>
  <si>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</si>
  <si>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</si>
  <si>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</si>
  <si>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</si>
  <si>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</si>
  <si>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</si>
  <si>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</si>
  <si>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</si>
  <si>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</si>
  <si>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</si>
  <si>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</si>
  <si>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</si>
  <si>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</si>
  <si>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</si>
  <si>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</si>
  <si>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</si>
  <si>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</si>
  <si>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</si>
  <si>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</si>
  <si>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</si>
  <si>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</si>
  <si>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</si>
  <si>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</si>
  <si>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</si>
  <si>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</si>
  <si>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</si>
  <si>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</si>
  <si>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</si>
  <si>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</si>
  <si>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</si>
  <si>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</si>
  <si>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</si>
  <si>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</si>
  <si>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</si>
  <si>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</si>
  <si>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</si>
  <si>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</si>
  <si>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</si>
  <si>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</si>
  <si>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</si>
  <si>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</si>
  <si>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</si>
  <si>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</si>
  <si>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</si>
  <si>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</si>
  <si>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</si>
  <si>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</si>
  <si>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</si>
  <si>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</si>
  <si>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</si>
  <si>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</si>
  <si>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</si>
  <si>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</si>
  <si>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</si>
  <si>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</si>
  <si>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</si>
  <si>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</si>
  <si>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</si>
  <si>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</si>
  <si>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</si>
  <si>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</si>
  <si>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</si>
  <si>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</si>
  <si>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</si>
  <si>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</si>
  <si>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</si>
  <si>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</si>
  <si>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</si>
  <si>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</si>
  <si>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</si>
  <si>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</si>
  <si>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</si>
  <si>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</si>
  <si>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</si>
  <si>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</si>
  <si>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</si>
  <si>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</si>
  <si>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</si>
  <si>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</si>
  <si>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</si>
  <si>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</si>
  <si>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</si>
  <si>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</si>
  <si>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</si>
  <si>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</si>
  <si>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</si>
  <si>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</si>
  <si>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</si>
  <si>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</si>
  <si>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</si>
  <si>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</si>
  <si>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</si>
  <si>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</si>
  <si>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</si>
  <si>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</si>
  <si>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</si>
  <si>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</si>
  <si>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</si>
  <si>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</si>
  <si>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</si>
  <si>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</si>
  <si>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</si>
  <si>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</si>
  <si>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</si>
  <si>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</si>
  <si>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</si>
  <si>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</si>
  <si>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</si>
  <si>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</si>
  <si>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</si>
  <si>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</si>
  <si>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</si>
  <si>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</si>
  <si>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</si>
  <si>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</si>
  <si>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</si>
  <si>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</si>
  <si>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</si>
  <si>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</si>
  <si>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</si>
  <si>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</si>
  <si>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</si>
  <si>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</si>
  <si>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</si>
  <si>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</si>
  <si>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</si>
  <si>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</si>
  <si>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</si>
  <si>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</si>
  <si>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</si>
  <si>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</si>
  <si>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</si>
  <si>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</si>
  <si>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</si>
  <si>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</si>
  <si>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</si>
  <si>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</si>
  <si>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</si>
  <si>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</si>
  <si>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</si>
  <si>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</si>
  <si>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</si>
  <si>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</si>
  <si>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</si>
  <si>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</si>
  <si>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</si>
  <si>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</si>
  <si>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</si>
  <si>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</si>
  <si>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</si>
  <si>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</si>
  <si>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</si>
  <si>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</si>
  <si>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</si>
  <si>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</si>
  <si>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</si>
  <si>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</si>
  <si>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</si>
  <si>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</si>
  <si>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</si>
  <si>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</si>
  <si>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</si>
  <si>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</si>
  <si>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</si>
  <si>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</si>
  <si>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</si>
  <si>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</si>
  <si>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</si>
  <si>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</si>
  <si>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</si>
  <si>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</si>
  <si>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</si>
  <si>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</si>
  <si>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</si>
  <si>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</si>
  <si>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</si>
  <si>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</si>
  <si>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</si>
  <si>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</si>
  <si>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</si>
  <si>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</si>
  <si>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</si>
  <si>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</si>
  <si>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</si>
  <si>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</si>
  <si>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</si>
  <si>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</si>
  <si>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</si>
  <si>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</si>
  <si>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</si>
  <si>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</si>
  <si>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</si>
  <si>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</si>
  <si>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</si>
  <si>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</si>
  <si>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</si>
  <si>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</si>
  <si>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</si>
  <si>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</si>
  <si>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</si>
  <si>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</si>
  <si>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</si>
  <si>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</si>
  <si>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</si>
  <si>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</si>
  <si>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</si>
  <si>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</si>
  <si>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</si>
  <si>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</si>
  <si>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</si>
  <si>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</si>
  <si>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</si>
  <si>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</si>
  <si>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</si>
  <si>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</si>
  <si>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</si>
  <si>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</si>
  <si>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</si>
  <si>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</si>
  <si>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</si>
  <si>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</si>
  <si>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</si>
  <si>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</si>
  <si>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</si>
  <si>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</si>
  <si>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</si>
  <si>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</si>
  <si>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</si>
  <si>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</si>
  <si>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</si>
  <si>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</si>
  <si>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</si>
  <si>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</si>
  <si>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</si>
  <si>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</si>
  <si>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</si>
  <si>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</si>
  <si>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</si>
  <si>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</si>
  <si>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</si>
  <si>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</si>
  <si>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</si>
  <si>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</si>
  <si>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</si>
  <si>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</si>
  <si>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</si>
  <si>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</si>
  <si>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</si>
  <si>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</si>
  <si>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</si>
  <si>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</si>
  <si>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</si>
  <si>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</si>
  <si>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</si>
  <si>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</si>
  <si>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</si>
  <si>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</si>
  <si>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</si>
  <si>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</si>
  <si>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</si>
  <si>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</si>
  <si>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</si>
  <si>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</si>
  <si>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</si>
  <si>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</si>
  <si>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</si>
  <si>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</si>
  <si>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</si>
  <si>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</si>
  <si>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</si>
  <si>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</si>
  <si>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</si>
  <si>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</si>
  <si>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</si>
  <si>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</si>
  <si>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</si>
  <si>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</si>
  <si>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</si>
  <si>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</si>
  <si>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</si>
  <si>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</si>
  <si>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</si>
  <si>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</si>
  <si>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</si>
  <si>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</si>
  <si>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</si>
  <si>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</si>
  <si>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</si>
  <si>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</si>
  <si>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</si>
  <si>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</si>
  <si>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</si>
  <si>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</si>
  <si>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</si>
  <si>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</si>
  <si>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</si>
  <si>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</si>
  <si>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</si>
  <si>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</si>
  <si>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</si>
  <si>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</si>
  <si>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</si>
  <si>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</si>
  <si>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</si>
  <si>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</si>
  <si>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</si>
  <si>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</si>
  <si>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</si>
  <si>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</si>
  <si>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</si>
  <si>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</si>
  <si>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</si>
  <si>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</si>
  <si>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</si>
  <si>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</si>
  <si>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</si>
  <si>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</si>
  <si>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</si>
  <si>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</si>
  <si>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</si>
  <si>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</si>
  <si>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</si>
  <si>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</si>
  <si>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</si>
  <si>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</si>
  <si>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</si>
  <si>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</si>
  <si>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</si>
  <si>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</si>
  <si>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</si>
  <si>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</si>
  <si>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</si>
  <si>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</si>
  <si>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</si>
  <si>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</si>
  <si>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</si>
  <si>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</si>
  <si>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</si>
  <si>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</si>
  <si>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</si>
  <si>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</si>
  <si>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</si>
  <si>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</si>
  <si>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</si>
  <si>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</si>
  <si>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</si>
  <si>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</si>
  <si>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</si>
  <si>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</si>
  <si>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</si>
  <si>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</si>
  <si>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</si>
  <si>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</si>
  <si>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</si>
  <si>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</si>
  <si>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</si>
  <si>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</si>
  <si>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</si>
  <si>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</si>
  <si>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</si>
  <si>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</si>
  <si>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</si>
  <si>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</si>
  <si>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</si>
  <si>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</si>
  <si>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</si>
  <si>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</si>
  <si>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</si>
  <si>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</si>
  <si>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</si>
  <si>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</si>
  <si>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</si>
  <si>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</si>
  <si>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</si>
  <si>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</si>
  <si>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</si>
  <si>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</si>
  <si>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</si>
  <si>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</si>
  <si>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</si>
  <si>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</si>
  <si>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</si>
  <si>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</si>
  <si>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</si>
  <si>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</si>
  <si>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</si>
  <si>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</si>
  <si>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</si>
  <si>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</si>
  <si>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</si>
  <si>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</si>
  <si>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</si>
  <si>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</si>
  <si>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</si>
  <si>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</si>
  <si>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</si>
  <si>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</si>
  <si>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</si>
  <si>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</si>
  <si>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</si>
  <si>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</si>
  <si>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</si>
  <si>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</si>
  <si>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</si>
  <si>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</si>
  <si>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</si>
  <si>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</si>
  <si>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</si>
  <si>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</si>
  <si>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</si>
  <si>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</si>
  <si>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</si>
  <si>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</si>
  <si>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</si>
  <si>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</si>
  <si>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</si>
  <si>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</si>
  <si>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</si>
  <si>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</si>
  <si>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</si>
  <si>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</si>
  <si>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</si>
  <si>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</si>
  <si>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</si>
  <si>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</si>
  <si>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</si>
  <si>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</si>
  <si>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</si>
  <si>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</si>
  <si>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</si>
  <si>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</si>
  <si>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</si>
  <si>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</si>
  <si>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</si>
  <si>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</si>
  <si>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</si>
  <si>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</si>
  <si>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</si>
  <si>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</si>
  <si>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</si>
  <si>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</si>
  <si>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</si>
  <si>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</si>
  <si>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</si>
  <si>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</si>
  <si>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</si>
  <si>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</si>
  <si>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</si>
  <si>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</si>
  <si>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</si>
  <si>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</si>
  <si>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</si>
  <si>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</si>
  <si>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</si>
  <si>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</si>
  <si>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</si>
  <si>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</si>
  <si>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</si>
  <si>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</si>
  <si>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</si>
  <si>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</si>
  <si>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</si>
  <si>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</si>
  <si>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</si>
  <si>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</si>
  <si>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</si>
  <si>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</si>
  <si>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</si>
  <si>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</si>
  <si>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</si>
  <si>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</si>
  <si>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</si>
  <si>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</si>
  <si>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</si>
  <si>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</si>
  <si>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</si>
  <si>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</si>
  <si>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</si>
  <si>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</si>
  <si>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</si>
  <si>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</si>
  <si>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</si>
  <si>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</si>
  <si>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</si>
  <si>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</si>
  <si>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</si>
  <si>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</si>
  <si>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</si>
  <si>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</si>
  <si>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</si>
  <si>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</si>
  <si>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</si>
  <si>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</si>
  <si>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</si>
  <si>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</si>
  <si>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</si>
  <si>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</si>
  <si>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</si>
  <si>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</si>
  <si>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</si>
  <si>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</si>
  <si>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</si>
  <si>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</si>
  <si>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</si>
  <si>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</si>
  <si>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</si>
  <si>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</si>
  <si>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</si>
  <si>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</si>
  <si>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</si>
  <si>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</si>
  <si>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</si>
  <si>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</si>
  <si>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</si>
  <si>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</si>
  <si>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</si>
  <si>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</si>
  <si>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</si>
  <si>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</si>
  <si>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</si>
  <si>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</si>
  <si>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</si>
  <si>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</si>
  <si>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</si>
  <si>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</si>
  <si>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</si>
  <si>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</si>
  <si>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</si>
  <si>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</si>
  <si>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</si>
  <si>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</si>
  <si>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</si>
  <si>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</si>
  <si>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</si>
  <si>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</si>
  <si>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</si>
  <si>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</si>
  <si>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</si>
  <si>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</si>
  <si>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</si>
  <si>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</si>
  <si>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</si>
  <si>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</si>
  <si>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</si>
  <si>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</si>
  <si>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</si>
  <si>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</si>
  <si>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</si>
  <si>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</si>
  <si>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</si>
  <si>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</si>
  <si>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</si>
  <si>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</si>
  <si>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</si>
  <si>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</si>
  <si>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</si>
  <si>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</si>
  <si>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</si>
  <si>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</si>
  <si>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</si>
  <si>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</si>
  <si>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</si>
  <si>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</si>
  <si>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</si>
  <si>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</si>
  <si>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</si>
  <si>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</si>
  <si>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</si>
  <si>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</si>
  <si>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</si>
  <si>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</si>
  <si>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</si>
  <si>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</si>
  <si>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</si>
  <si>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</si>
  <si>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</si>
  <si>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</si>
  <si>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</si>
  <si>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</si>
  <si>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</si>
  <si>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</si>
  <si>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</si>
  <si>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</si>
  <si>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</si>
  <si>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</si>
  <si>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</si>
  <si>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</si>
  <si>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</si>
  <si>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</si>
  <si>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</si>
  <si>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</si>
  <si>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</si>
  <si>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</si>
  <si>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</si>
  <si>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</si>
  <si>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</si>
  <si>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</si>
  <si>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</si>
  <si>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</si>
  <si>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</si>
  <si>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</si>
  <si>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</si>
  <si>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</si>
  <si>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</si>
  <si>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</si>
  <si>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</si>
  <si>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</si>
  <si>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</si>
  <si>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</si>
  <si>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</si>
  <si>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</si>
  <si>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</si>
  <si>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</si>
  <si>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</si>
  <si>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</si>
  <si>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</si>
  <si>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</si>
  <si>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</si>
  <si>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</si>
  <si>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</si>
  <si>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</si>
  <si>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</si>
  <si>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</si>
  <si>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</si>
  <si>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</si>
  <si>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</si>
  <si>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</si>
  <si>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</si>
  <si>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</si>
  <si>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</si>
  <si>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</si>
  <si>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</si>
  <si>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</si>
  <si>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</si>
  <si>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</si>
  <si>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</si>
  <si>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</si>
  <si>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</si>
  <si>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</si>
  <si>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</si>
  <si>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</si>
  <si>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</si>
  <si>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</si>
  <si>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</si>
  <si>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</si>
  <si>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</si>
  <si>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</si>
  <si>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</si>
  <si>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</si>
  <si>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</si>
  <si>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</si>
  <si>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</si>
  <si>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</si>
  <si>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</si>
  <si>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</si>
  <si>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</si>
  <si>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</si>
  <si>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</si>
  <si>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</si>
  <si>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</si>
  <si>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</si>
  <si>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</si>
  <si>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</si>
  <si>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</si>
  <si>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</si>
  <si>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</si>
  <si>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</si>
  <si>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</si>
  <si>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</si>
  <si>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</si>
  <si>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</si>
  <si>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</si>
  <si>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</si>
  <si>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</si>
  <si>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</si>
  <si>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</si>
  <si>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</si>
  <si>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</si>
  <si>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</si>
  <si>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</si>
  <si>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</si>
  <si>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</si>
  <si>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</si>
  <si>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</si>
  <si>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</si>
  <si>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</si>
  <si>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</si>
  <si>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</si>
  <si>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</si>
  <si>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</si>
  <si>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</si>
  <si>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</si>
  <si>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</si>
  <si>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</si>
  <si>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</si>
  <si>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</si>
  <si>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</si>
  <si>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</si>
  <si>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</si>
  <si>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</si>
  <si>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</si>
  <si>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</si>
  <si>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</si>
  <si>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</si>
  <si>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</si>
  <si>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</si>
  <si>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</si>
  <si>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</si>
  <si>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</si>
  <si>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</si>
  <si>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</si>
  <si>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</si>
  <si>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</si>
  <si>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</si>
  <si>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</si>
  <si>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</si>
  <si>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</si>
  <si>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</si>
  <si>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</si>
  <si>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</si>
  <si>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</si>
  <si>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</si>
  <si>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</si>
  <si>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</si>
  <si>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</si>
  <si>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</si>
  <si>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</si>
  <si>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</si>
  <si>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</si>
  <si>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</si>
  <si>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</si>
  <si>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</si>
  <si>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</si>
  <si>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</si>
  <si>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</si>
  <si>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</si>
  <si>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</si>
  <si>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</si>
  <si>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</si>
  <si>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</si>
  <si>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</si>
  <si>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</si>
  <si>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</si>
  <si>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</si>
  <si>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</si>
  <si>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</si>
  <si>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</si>
  <si>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</si>
  <si>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</si>
  <si>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</si>
  <si>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</si>
  <si>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</si>
  <si>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</si>
  <si>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</si>
  <si>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</si>
  <si>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</si>
  <si>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</si>
  <si>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</si>
  <si>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</si>
  <si>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</si>
  <si>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</si>
  <si>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</si>
  <si>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</si>
  <si>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</si>
  <si>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</si>
  <si>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</si>
  <si>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</si>
  <si>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</si>
  <si>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</si>
  <si>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</si>
  <si>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</si>
  <si>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</si>
  <si>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</si>
  <si>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</si>
  <si>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</si>
  <si>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</si>
  <si>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</si>
  <si>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</si>
  <si>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</si>
  <si>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</si>
  <si>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</si>
  <si>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</si>
  <si>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</si>
  <si>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</si>
  <si>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</si>
  <si>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</si>
  <si>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</si>
  <si>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</si>
  <si>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</si>
  <si>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</si>
  <si>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</si>
  <si>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</si>
  <si>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</si>
  <si>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</si>
  <si>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</si>
  <si>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</si>
  <si>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</si>
  <si>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</si>
  <si>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</si>
  <si>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</si>
  <si>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</si>
  <si>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</si>
  <si>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</si>
  <si>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</si>
  <si>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</si>
  <si>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</si>
  <si>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</si>
  <si>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</si>
  <si>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</si>
  <si>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</si>
  <si>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</si>
  <si>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</si>
  <si>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</si>
  <si>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</si>
  <si>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</si>
  <si>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</si>
  <si>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</si>
  <si>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</si>
  <si>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</si>
  <si>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</si>
  <si>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</si>
  <si>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</si>
  <si>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</si>
  <si>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</si>
  <si>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</si>
  <si>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</si>
  <si>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</si>
  <si>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</si>
  <si>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</si>
  <si>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</si>
  <si>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</si>
  <si>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</si>
  <si>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</si>
  <si>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</si>
  <si>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</si>
  <si>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</si>
  <si>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</si>
  <si>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</si>
  <si>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</si>
  <si>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</si>
  <si>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</si>
  <si>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</si>
  <si>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</si>
  <si>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</si>
  <si>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</si>
  <si>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</si>
  <si>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</si>
  <si>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</si>
  <si>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</si>
  <si>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</si>
  <si>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</si>
  <si>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</si>
  <si>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</si>
  <si>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</si>
  <si>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</si>
  <si>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</si>
  <si>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</si>
  <si>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</si>
  <si>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</si>
  <si>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</si>
  <si>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</si>
  <si>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</si>
  <si>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</si>
  <si>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</si>
  <si>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</si>
  <si>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</si>
  <si>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</si>
  <si>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</si>
  <si>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</si>
  <si>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</si>
  <si>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</si>
  <si>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</si>
  <si>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</si>
  <si>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</si>
  <si>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</si>
  <si>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</si>
  <si>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</si>
  <si>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</si>
  <si>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</si>
  <si>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</si>
  <si>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</si>
  <si>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</si>
  <si>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</si>
  <si>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</si>
  <si>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</si>
  <si>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</si>
  <si>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</si>
  <si>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</si>
  <si>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</si>
  <si>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</si>
  <si>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</si>
  <si>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</si>
  <si>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</si>
  <si>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</si>
  <si>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</si>
  <si>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</si>
  <si>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</si>
  <si>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</si>
  <si>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</si>
  <si>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</si>
  <si>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</si>
  <si>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</si>
  <si>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</si>
  <si>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</si>
  <si>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</si>
  <si>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</si>
  <si>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</si>
  <si>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</si>
  <si>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</si>
  <si>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</si>
  <si>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</si>
  <si>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</si>
  <si>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</si>
  <si>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</si>
  <si>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</si>
  <si>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</si>
  <si>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</si>
  <si>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</si>
  <si>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</si>
  <si>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</si>
  <si>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</si>
  <si>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</si>
  <si>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</si>
  <si>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</si>
  <si>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</si>
  <si>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</si>
  <si>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</si>
  <si>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</si>
  <si>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</si>
  <si>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</si>
  <si>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</si>
  <si>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</si>
  <si>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</si>
  <si>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</si>
  <si>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</si>
  <si>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</si>
  <si>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</si>
  <si>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</si>
  <si>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</si>
  <si>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</si>
  <si>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</si>
  <si>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</si>
  <si>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</si>
  <si>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</si>
  <si>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</si>
  <si>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</si>
  <si>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</si>
  <si>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</si>
  <si>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</si>
  <si>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</si>
  <si>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</si>
  <si>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</si>
  <si>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</si>
  <si>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</si>
  <si>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</si>
  <si>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</si>
  <si>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</si>
  <si>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</si>
  <si>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</si>
  <si>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</si>
  <si>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</si>
  <si>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</si>
  <si>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</si>
  <si>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</si>
  <si>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</si>
  <si>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</si>
  <si>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</si>
  <si>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</si>
  <si>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</si>
  <si>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</si>
  <si>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</si>
  <si>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</si>
  <si>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</si>
  <si>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</si>
  <si>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</si>
  <si>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</si>
  <si>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</si>
  <si>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</si>
  <si>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</si>
  <si>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</si>
  <si>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</si>
  <si>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</si>
  <si>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</si>
  <si>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</si>
  <si>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</si>
  <si>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</si>
  <si>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</si>
  <si>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</si>
  <si>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</si>
  <si>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</si>
  <si>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</si>
  <si>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</si>
  <si>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</si>
  <si>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</si>
  <si>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</si>
  <si>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</si>
  <si>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</si>
  <si>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</si>
  <si>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</si>
  <si>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</si>
  <si>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</si>
  <si>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</si>
  <si>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</si>
  <si>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</si>
  <si>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</si>
  <si>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</si>
  <si>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</si>
  <si>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</si>
  <si>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</si>
  <si>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</si>
  <si>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</si>
  <si>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</si>
  <si>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</si>
  <si>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</si>
  <si>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</si>
  <si>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</si>
  <si>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</si>
  <si>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</si>
  <si>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</si>
  <si>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</si>
  <si>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</si>
  <si>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</si>
  <si>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</si>
  <si>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</si>
  <si>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</si>
  <si>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</si>
  <si>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</si>
  <si>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</si>
  <si>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</si>
  <si>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</si>
  <si>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</si>
  <si>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</si>
  <si>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</si>
  <si>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</si>
  <si>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</si>
  <si>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</si>
  <si>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</si>
  <si>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</si>
  <si>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</si>
  <si>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</si>
  <si>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</si>
  <si>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</si>
  <si>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</si>
  <si>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</si>
  <si>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</si>
  <si>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</si>
  <si>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</si>
  <si>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</si>
  <si>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</si>
  <si>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</si>
  <si>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</si>
  <si>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</si>
  <si>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</si>
  <si>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</si>
  <si>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</si>
  <si>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</si>
  <si>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</si>
  <si>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</si>
  <si>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</si>
  <si>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</si>
  <si>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</si>
  <si>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</si>
  <si>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</si>
  <si>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</si>
  <si>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</si>
  <si>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</si>
  <si>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</si>
  <si>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</si>
  <si>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</si>
  <si>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</si>
  <si>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</si>
  <si>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</si>
  <si>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</si>
  <si>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</si>
  <si>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</si>
  <si>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</si>
  <si>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</si>
  <si>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</si>
  <si>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</si>
  <si>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</si>
  <si>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</si>
  <si>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</si>
  <si>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</si>
  <si>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</si>
  <si>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</si>
  <si>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</si>
  <si>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</si>
  <si>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</si>
  <si>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</si>
  <si>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</si>
  <si>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</si>
  <si>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</si>
  <si>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</si>
  <si>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</si>
  <si>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</si>
  <si>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</si>
  <si>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</si>
  <si>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</si>
  <si>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</si>
  <si>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</si>
  <si>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</si>
  <si>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</si>
  <si>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</si>
  <si>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</si>
  <si>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</si>
  <si>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</si>
  <si>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</si>
  <si>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</si>
  <si>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</si>
  <si>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</si>
  <si>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</si>
  <si>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</si>
  <si>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</si>
  <si>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</si>
  <si>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</si>
  <si>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</si>
  <si>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</si>
  <si>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</si>
  <si>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</si>
  <si>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</si>
  <si>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</si>
  <si>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</si>
  <si>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</si>
  <si>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</si>
  <si>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</si>
  <si>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</si>
  <si>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</si>
  <si>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</si>
  <si>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</si>
  <si>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</si>
  <si>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</si>
  <si>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</si>
  <si>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</si>
  <si>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</si>
  <si>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</si>
  <si>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</si>
  <si>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</si>
  <si>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</si>
  <si>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</si>
  <si>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</si>
  <si>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</si>
  <si>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</si>
  <si>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</si>
  <si>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</si>
  <si>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</si>
  <si>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</si>
  <si>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</si>
  <si>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</si>
  <si>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</si>
  <si>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</si>
  <si>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</si>
  <si>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</si>
  <si>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</si>
  <si>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</si>
  <si>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</si>
  <si>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</si>
  <si>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</si>
  <si>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</si>
  <si>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</si>
  <si>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</si>
  <si>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</si>
  <si>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</si>
  <si>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</si>
  <si>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</si>
  <si>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</si>
  <si>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</si>
  <si>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</si>
  <si>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</si>
  <si>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</si>
  <si>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</si>
  <si>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</si>
  <si>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</si>
  <si>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</si>
  <si>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</si>
  <si>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</si>
  <si>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</si>
  <si>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</si>
  <si>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</si>
  <si>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</si>
  <si>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</si>
  <si>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</si>
  <si>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</si>
  <si>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</si>
  <si>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</si>
  <si>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</si>
  <si>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</si>
  <si>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</si>
  <si>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</si>
  <si>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</si>
  <si>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</si>
  <si>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</si>
  <si>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</si>
  <si>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</si>
  <si>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</si>
  <si>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</si>
  <si>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</si>
  <si>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</si>
  <si>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</si>
  <si>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</si>
  <si>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</si>
  <si>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</si>
  <si>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</si>
  <si>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</si>
  <si>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</si>
  <si>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</si>
  <si>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</si>
  <si>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</si>
  <si>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</si>
  <si>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</si>
  <si>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</si>
  <si>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</si>
  <si>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</si>
  <si>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</si>
  <si>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</si>
  <si>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</si>
  <si>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</si>
  <si>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</si>
  <si>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</si>
  <si>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</si>
  <si>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</si>
  <si>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</si>
  <si>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</si>
  <si>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</si>
  <si>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</si>
  <si>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</si>
  <si>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</si>
  <si>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</si>
  <si>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</si>
  <si>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</si>
  <si>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</si>
  <si>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</si>
  <si>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</si>
  <si>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</si>
  <si>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</si>
  <si>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</si>
  <si>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</si>
  <si>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</si>
  <si>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</si>
  <si>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</si>
  <si>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</si>
  <si>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</si>
  <si>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</si>
  <si>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</si>
  <si>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</si>
  <si>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</si>
  <si>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</si>
  <si>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</si>
  <si>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</si>
  <si>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</si>
  <si>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</si>
  <si>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</si>
  <si>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</si>
  <si>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</si>
  <si>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</si>
  <si>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</si>
  <si>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</si>
  <si>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</si>
  <si>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</si>
  <si>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</si>
  <si>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</si>
  <si>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</si>
  <si>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</si>
  <si>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</si>
  <si>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</si>
  <si>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</si>
  <si>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</si>
  <si>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</si>
  <si>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</si>
  <si>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</si>
  <si>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</si>
  <si>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</si>
  <si>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</si>
  <si>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</si>
  <si>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</si>
  <si>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</si>
  <si>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</si>
  <si>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</si>
  <si>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</si>
  <si>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</si>
  <si>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</si>
  <si>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</si>
  <si>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</si>
  <si>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</si>
  <si>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</si>
  <si>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</si>
  <si>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</si>
  <si>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</si>
  <si>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</si>
  <si>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</si>
  <si>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</si>
  <si>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</si>
  <si>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</si>
  <si>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</si>
  <si>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</si>
  <si>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</si>
  <si>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</si>
  <si>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</si>
  <si>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</si>
  <si>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</si>
  <si>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</si>
  <si>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</si>
  <si>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</si>
  <si>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</si>
  <si>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</si>
  <si>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</si>
  <si>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</si>
  <si>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</si>
  <si>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</si>
  <si>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</si>
  <si>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</si>
  <si>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</si>
  <si>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</si>
  <si>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</si>
  <si>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</si>
  <si>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</si>
  <si>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</si>
  <si>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</si>
  <si>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</si>
  <si>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</si>
  <si>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</si>
  <si>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</si>
  <si>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</si>
  <si>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</si>
  <si>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</si>
  <si>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</si>
  <si>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</si>
  <si>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</si>
  <si>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</si>
  <si>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</si>
  <si>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</si>
  <si>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</si>
  <si>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</si>
  <si>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</si>
  <si>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</si>
  <si>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</si>
  <si>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</si>
  <si>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</si>
  <si>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</si>
  <si>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</si>
  <si>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</si>
  <si>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</si>
  <si>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</si>
  <si>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</si>
  <si>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</si>
  <si>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</si>
  <si>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</si>
  <si>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</si>
  <si>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</si>
  <si>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</si>
  <si>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</si>
  <si>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</si>
  <si>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</si>
  <si>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</si>
  <si>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</si>
  <si>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</si>
  <si>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</si>
  <si>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</si>
  <si>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</si>
  <si>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</si>
  <si>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</si>
  <si>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</si>
  <si>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</si>
  <si>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</si>
  <si>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</si>
  <si>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</si>
  <si>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</si>
  <si>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</si>
  <si>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</si>
  <si>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</si>
  <si>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</si>
  <si>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</si>
  <si>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</si>
  <si>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</si>
  <si>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</si>
  <si>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</si>
  <si>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</si>
  <si>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</si>
  <si>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</si>
  <si>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</si>
  <si>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</si>
  <si>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</si>
  <si>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</si>
  <si>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</si>
  <si>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</si>
  <si>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</si>
  <si>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</si>
  <si>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</si>
  <si>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</si>
  <si>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</si>
  <si>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</si>
  <si>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</si>
  <si>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</si>
  <si>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</si>
  <si>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</si>
  <si>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</si>
  <si>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</si>
  <si>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</si>
  <si>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</si>
  <si>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</si>
  <si>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</si>
  <si>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</si>
  <si>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</si>
  <si>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</si>
  <si>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</si>
  <si>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</si>
  <si>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</si>
  <si>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</si>
  <si>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</si>
  <si>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</si>
  <si>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</si>
  <si>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</si>
  <si>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</si>
  <si>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</si>
  <si>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</si>
  <si>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</si>
  <si>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</si>
  <si>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</si>
  <si>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</si>
  <si>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</si>
  <si>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</si>
  <si>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</si>
  <si>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</si>
  <si>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</si>
  <si>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</si>
  <si>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</si>
  <si>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</si>
  <si>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</si>
  <si>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</si>
  <si>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</si>
  <si>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</si>
  <si>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</si>
  <si>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</si>
  <si>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</si>
  <si>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</si>
  <si>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</si>
  <si>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</si>
  <si>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</si>
  <si>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</si>
  <si>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</si>
  <si>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</si>
  <si>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</si>
  <si>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</si>
  <si>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</si>
  <si>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</si>
  <si>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</si>
  <si>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</si>
  <si>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</si>
  <si>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</si>
  <si>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</si>
  <si>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</si>
  <si>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</si>
  <si>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</si>
  <si>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</si>
  <si>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</si>
  <si>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</si>
  <si>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</si>
  <si>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</si>
  <si>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</si>
  <si>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</si>
  <si>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</si>
  <si>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</si>
  <si>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</si>
  <si>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</si>
  <si>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</si>
  <si>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</si>
  <si>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</si>
  <si>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</si>
  <si>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</si>
  <si>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</si>
  <si>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</si>
  <si>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</si>
  <si>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</si>
  <si>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</si>
  <si>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</si>
  <si>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</si>
  <si>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</si>
  <si>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</si>
  <si>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</si>
  <si>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</si>
  <si>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</si>
  <si>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</si>
  <si>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</si>
  <si>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</si>
  <si>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</si>
  <si>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</si>
  <si>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</si>
  <si>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</si>
  <si>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</si>
  <si>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</si>
  <si>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</si>
  <si>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</si>
  <si>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</si>
  <si>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</si>
  <si>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</si>
  <si>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</si>
  <si>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</si>
  <si>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</si>
  <si>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</si>
  <si>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</si>
  <si>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</si>
  <si>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</si>
  <si>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</si>
  <si>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</si>
  <si>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</si>
  <si>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</si>
  <si>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</si>
  <si>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</si>
  <si>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</si>
  <si>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</si>
  <si>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</si>
  <si>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</si>
  <si>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</si>
  <si>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</si>
  <si>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</si>
  <si>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</si>
  <si>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</si>
  <si>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</si>
  <si>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</si>
  <si>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</si>
  <si>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</si>
  <si>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</si>
  <si>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</si>
  <si>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</si>
  <si>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</si>
  <si>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</si>
  <si>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</si>
  <si>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</si>
  <si>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</si>
  <si>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</si>
  <si>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</si>
  <si>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</si>
  <si>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</si>
  <si>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</si>
  <si>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</si>
  <si>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</si>
  <si>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</si>
  <si>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</si>
  <si>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</si>
  <si>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</si>
  <si>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</si>
  <si>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</si>
  <si>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</si>
  <si>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</si>
  <si>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</si>
  <si>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</si>
  <si>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</si>
  <si>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</si>
  <si>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</si>
  <si>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</si>
  <si>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</si>
  <si>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</si>
  <si>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</si>
  <si>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</si>
  <si>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</si>
  <si>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</si>
  <si>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</si>
  <si>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</si>
  <si>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</si>
  <si>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</si>
  <si>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</si>
  <si>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</si>
  <si>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</si>
  <si>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</si>
  <si>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</si>
  <si>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</si>
  <si>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</si>
  <si>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</si>
  <si>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</si>
  <si>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</si>
  <si>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</si>
  <si>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</si>
  <si>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</si>
  <si>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</si>
  <si>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</si>
  <si>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</si>
  <si>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</si>
  <si>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</si>
  <si>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</si>
  <si>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</si>
  <si>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</si>
  <si>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</si>
  <si>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</si>
  <si>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</si>
  <si>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</si>
  <si>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</si>
  <si>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</si>
  <si>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</si>
  <si>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</si>
  <si>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</si>
  <si>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</si>
  <si>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</si>
  <si>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</si>
  <si>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</si>
  <si>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</si>
  <si>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</si>
  <si>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</si>
  <si>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</si>
  <si>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</si>
  <si>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</si>
  <si>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</si>
  <si>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</si>
  <si>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</si>
  <si>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</si>
  <si>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</si>
  <si>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</si>
  <si>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</si>
  <si>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</si>
  <si>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</si>
  <si>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</si>
  <si>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</si>
  <si>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</si>
  <si>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</si>
  <si>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</si>
  <si>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</si>
  <si>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</si>
  <si>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</si>
  <si>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</si>
  <si>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</si>
  <si>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</si>
  <si>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</si>
  <si>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</si>
  <si>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</si>
  <si>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</si>
  <si>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</si>
  <si>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</si>
  <si>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</si>
  <si>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</si>
  <si>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</si>
  <si>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</si>
  <si>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</si>
  <si>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</si>
  <si>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</si>
  <si>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</si>
  <si>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</si>
  <si>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</si>
  <si>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</si>
  <si>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</si>
  <si>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</si>
  <si>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</si>
  <si>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</si>
  <si>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</si>
  <si>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</si>
  <si>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</si>
  <si>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</si>
  <si>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</si>
  <si>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</si>
  <si>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</si>
  <si>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</si>
  <si>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</si>
  <si>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</si>
  <si>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</si>
  <si>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</si>
  <si>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</si>
  <si>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</si>
  <si>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</si>
  <si>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</si>
  <si>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</si>
  <si>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</si>
  <si>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</si>
  <si>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</si>
  <si>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</si>
  <si>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</si>
  <si>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</si>
  <si>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</si>
  <si>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</si>
  <si>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</si>
  <si>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</si>
  <si>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</si>
  <si>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</si>
  <si>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</si>
  <si>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</si>
  <si>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</si>
  <si>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</si>
  <si>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</si>
  <si>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</si>
  <si>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</si>
  <si>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</si>
  <si>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</si>
  <si>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</si>
  <si>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</si>
  <si>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</si>
  <si>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</si>
  <si>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</si>
  <si>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</si>
  <si>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</si>
  <si>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</si>
  <si>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</si>
  <si>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</si>
  <si>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</si>
  <si>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</si>
  <si>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</si>
  <si>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</si>
  <si>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</si>
  <si>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</si>
  <si>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</si>
  <si>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</si>
  <si>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</si>
  <si>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</si>
  <si>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</si>
  <si>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</si>
  <si>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</si>
  <si>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</si>
  <si>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</si>
  <si>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</si>
  <si>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</si>
  <si>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</si>
  <si>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</si>
  <si>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</si>
  <si>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</si>
  <si>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</si>
  <si>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</si>
  <si>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</si>
  <si>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</si>
  <si>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</si>
  <si>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</si>
  <si>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</si>
  <si>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</si>
  <si>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</si>
  <si>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</si>
  <si>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</si>
  <si>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</si>
  <si>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</si>
  <si>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</si>
  <si>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</si>
  <si>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</si>
  <si>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</si>
  <si>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</si>
  <si>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</si>
  <si>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</si>
  <si>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</si>
  <si>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</si>
  <si>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</si>
  <si>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</si>
  <si>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</si>
  <si>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</si>
  <si>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</si>
  <si>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</si>
  <si>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</si>
  <si>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</si>
  <si>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</si>
  <si>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</si>
  <si>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</si>
  <si>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</si>
  <si>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</si>
  <si>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</si>
  <si>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</si>
  <si>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</si>
  <si>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</si>
  <si>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</si>
  <si>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</si>
  <si>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</si>
  <si>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</si>
  <si>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</si>
  <si>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</si>
  <si>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</si>
  <si>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</si>
  <si>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</si>
  <si>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</si>
  <si>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</si>
  <si>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</si>
  <si>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</si>
  <si>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</si>
  <si>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</si>
  <si>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</si>
  <si>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</si>
  <si>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</si>
  <si>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</si>
  <si>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</si>
  <si>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</si>
  <si>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</si>
  <si>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</si>
  <si>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</si>
  <si>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</si>
  <si>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</si>
  <si>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</si>
  <si>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</si>
  <si>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</si>
  <si>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</si>
  <si>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</si>
  <si>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</si>
  <si>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</si>
  <si>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</si>
  <si>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</si>
  <si>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</si>
  <si>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</si>
  <si>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</si>
  <si>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</si>
  <si>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</si>
  <si>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</si>
  <si>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</si>
  <si>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</si>
  <si>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</si>
  <si>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</si>
  <si>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</si>
  <si>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</si>
  <si>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</si>
  <si>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</si>
  <si>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</si>
  <si>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</si>
  <si>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</si>
  <si>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</si>
  <si>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</si>
  <si>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</si>
  <si>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</si>
  <si>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</si>
  <si>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</si>
  <si>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</si>
  <si>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</si>
  <si>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</si>
  <si>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</si>
  <si>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</si>
  <si>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</si>
  <si>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</si>
  <si>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</si>
  <si>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</si>
  <si>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</si>
  <si>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</si>
  <si>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</si>
  <si>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</si>
  <si>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</si>
  <si>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</si>
  <si>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</si>
  <si>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</si>
  <si>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</si>
  <si>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</si>
  <si>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</si>
  <si>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</si>
  <si>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</si>
  <si>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</si>
  <si>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</si>
  <si>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</si>
  <si>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</si>
  <si>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</si>
  <si>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</si>
  <si>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</si>
  <si>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</si>
  <si>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</si>
  <si>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</si>
  <si>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</si>
  <si>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</si>
  <si>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</si>
  <si>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</si>
  <si>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</si>
  <si>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</si>
  <si>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</si>
  <si>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</si>
  <si>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</si>
  <si>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</si>
  <si>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</si>
  <si>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</si>
  <si>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</si>
  <si>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</si>
  <si>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</si>
  <si>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</si>
  <si>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</si>
  <si>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</si>
  <si>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</si>
  <si>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</si>
  <si>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</si>
  <si>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</si>
  <si>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</si>
  <si>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</si>
  <si>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</si>
  <si>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</si>
  <si>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</si>
  <si>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</si>
  <si>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</si>
  <si>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</si>
  <si>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</si>
  <si>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</si>
  <si>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</si>
  <si>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</si>
  <si>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</si>
  <si>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</si>
  <si>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</si>
  <si>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</si>
  <si>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</si>
  <si>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</si>
  <si>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</si>
  <si>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</si>
  <si>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</si>
  <si>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</si>
  <si>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</si>
  <si>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</si>
  <si>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</si>
  <si>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</si>
  <si>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</si>
  <si>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</si>
  <si>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</si>
  <si>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</si>
  <si>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</si>
  <si>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</si>
  <si>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</si>
  <si>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</si>
  <si>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</si>
  <si>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</si>
  <si>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</si>
  <si>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</si>
  <si>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</si>
  <si>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</si>
  <si>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</si>
  <si>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</si>
  <si>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</si>
  <si>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</si>
  <si>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</si>
  <si>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</si>
  <si>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</si>
  <si>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</si>
  <si>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</si>
  <si>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</si>
  <si>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</si>
  <si>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</si>
  <si>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</si>
  <si>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</si>
  <si>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</si>
  <si>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</si>
  <si>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</si>
  <si>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</si>
  <si>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</si>
  <si>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</si>
  <si>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</si>
  <si>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</si>
  <si>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</si>
  <si>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</si>
  <si>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</si>
  <si>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</si>
  <si>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</si>
  <si>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</si>
  <si>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</si>
  <si>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</si>
  <si>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</si>
  <si>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</si>
  <si>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</si>
  <si>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</si>
  <si>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</si>
  <si>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</si>
  <si>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</si>
  <si>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</si>
  <si>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</si>
  <si>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</si>
  <si>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</si>
  <si>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</si>
  <si>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</si>
  <si>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</si>
  <si>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</si>
  <si>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</si>
  <si>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</si>
  <si>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</si>
  <si>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</si>
  <si>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</si>
  <si>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</si>
  <si>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</si>
  <si>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</si>
  <si>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</si>
  <si>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</si>
  <si>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</si>
  <si>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</si>
  <si>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</si>
  <si>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</si>
  <si>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</si>
  <si>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</si>
  <si>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</si>
  <si>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</si>
  <si>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</si>
  <si>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</si>
  <si>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</si>
  <si>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</si>
  <si>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</si>
  <si>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</si>
  <si>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</si>
  <si>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</si>
  <si>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</si>
  <si>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</si>
  <si>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</si>
  <si>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</si>
  <si>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</si>
  <si>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</si>
  <si>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</si>
  <si>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</si>
  <si>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</si>
  <si>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</si>
  <si>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</si>
  <si>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</si>
  <si>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</si>
  <si>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</si>
  <si>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</si>
  <si>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</si>
  <si>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</si>
  <si>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</si>
  <si>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</si>
  <si>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</si>
  <si>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</si>
  <si>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</si>
  <si>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</si>
  <si>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</si>
  <si>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</si>
  <si>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</si>
  <si>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</si>
  <si>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</si>
  <si>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</si>
  <si>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</si>
  <si>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</si>
  <si>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</si>
  <si>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</si>
  <si>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</si>
  <si>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</si>
  <si>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</si>
  <si>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</si>
  <si>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</si>
  <si>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</si>
  <si>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</si>
  <si>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</si>
  <si>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</si>
  <si>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</si>
  <si>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</si>
  <si>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</si>
  <si>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</si>
  <si>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</si>
  <si>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</si>
  <si>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</si>
  <si>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</si>
  <si>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</si>
  <si>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</si>
  <si>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</si>
  <si>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</si>
  <si>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</si>
  <si>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</si>
  <si>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</si>
  <si>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</si>
  <si>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</si>
  <si>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</si>
  <si>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</si>
  <si>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</si>
  <si>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</si>
  <si>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</si>
  <si>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</si>
  <si>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</si>
  <si>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</si>
  <si>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</si>
  <si>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</si>
  <si>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</si>
  <si>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</si>
  <si>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</si>
  <si>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</si>
  <si>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</si>
  <si>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</si>
  <si>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</si>
  <si>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</si>
  <si>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</si>
  <si>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</si>
  <si>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</si>
  <si>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</si>
  <si>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</si>
  <si>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</si>
  <si>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</si>
  <si>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</si>
  <si>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</si>
  <si>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</si>
  <si>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</si>
  <si>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</si>
  <si>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</si>
  <si>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</si>
  <si>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</si>
  <si>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</si>
  <si>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</si>
  <si>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</si>
  <si>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</si>
  <si>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</si>
  <si>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</si>
  <si>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</si>
  <si>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</si>
  <si>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</si>
  <si>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</si>
  <si>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</si>
  <si>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</si>
  <si>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</si>
  <si>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</si>
  <si>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</si>
  <si>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</si>
  <si>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</si>
  <si>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</si>
  <si>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</si>
  <si>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</si>
  <si>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</si>
  <si>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</si>
  <si>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</si>
  <si>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</si>
  <si>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</si>
  <si>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</si>
  <si>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</si>
  <si>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</si>
  <si>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</si>
  <si>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</si>
  <si>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</si>
  <si>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</si>
  <si>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</si>
  <si>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</si>
  <si>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</si>
  <si>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</si>
  <si>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</si>
  <si>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</si>
  <si>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</si>
  <si>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</si>
  <si>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</si>
  <si>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</si>
  <si>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</si>
  <si>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</si>
  <si>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</si>
  <si>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</si>
  <si>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</si>
  <si>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</si>
  <si>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</si>
  <si>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</si>
  <si>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</si>
  <si>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</si>
  <si>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</si>
  <si>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</si>
  <si>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</si>
  <si>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</si>
  <si>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</si>
  <si>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</si>
  <si>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</si>
  <si>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</si>
  <si>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</si>
  <si>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</si>
  <si>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</si>
  <si>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</si>
  <si>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</si>
  <si>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</si>
  <si>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</si>
  <si>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</si>
  <si>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</si>
  <si>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</si>
  <si>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</si>
  <si>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</si>
  <si>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</si>
  <si>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</si>
  <si>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</si>
  <si>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</si>
  <si>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</si>
  <si>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</si>
  <si>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</si>
  <si>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</si>
  <si>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</si>
  <si>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</si>
  <si>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</si>
  <si>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</si>
  <si>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</si>
  <si>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</si>
  <si>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</si>
  <si>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</si>
  <si>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</si>
  <si>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</si>
  <si>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</si>
  <si>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</si>
  <si>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</si>
  <si>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</si>
  <si>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</si>
  <si>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</si>
  <si>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</si>
  <si>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</si>
  <si>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</si>
  <si>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</si>
  <si>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</si>
  <si>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</si>
  <si>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</si>
  <si>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</si>
  <si>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</si>
  <si>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</si>
  <si>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</si>
  <si>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</si>
  <si>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</si>
  <si>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</si>
  <si>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</si>
  <si>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</si>
  <si>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</si>
  <si>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</si>
  <si>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</si>
  <si>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</si>
  <si>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</si>
  <si>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</si>
  <si>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</si>
  <si>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</si>
  <si>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</si>
  <si>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</si>
  <si>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</si>
  <si>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</si>
  <si>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</si>
  <si>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</si>
  <si>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</si>
  <si>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</si>
  <si>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</si>
  <si>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</si>
  <si>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</si>
  <si>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</si>
  <si>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</si>
  <si>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</si>
  <si>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</si>
  <si>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</si>
  <si>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</si>
  <si>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</si>
  <si>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</si>
  <si>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</si>
  <si>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</si>
  <si>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</si>
  <si>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</si>
  <si>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</si>
  <si>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</si>
  <si>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</si>
  <si>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</si>
  <si>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</si>
  <si>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</si>
  <si>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</si>
  <si>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</si>
  <si>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</si>
  <si>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</si>
  <si>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</si>
  <si>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</si>
  <si>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</si>
  <si>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</si>
  <si>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</si>
  <si>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</si>
  <si>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</si>
  <si>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</si>
  <si>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</si>
  <si>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</si>
  <si>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</si>
  <si>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</si>
  <si>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</si>
  <si>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</si>
  <si>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</si>
  <si>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</si>
  <si>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</si>
  <si>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</si>
  <si>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</si>
  <si>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</si>
  <si>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</si>
  <si>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</si>
  <si>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</si>
  <si>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</si>
  <si>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</si>
  <si>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</si>
  <si>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</si>
  <si>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</si>
  <si>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</si>
  <si>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</si>
  <si>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</si>
  <si>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</si>
  <si>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</si>
  <si>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</si>
  <si>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</si>
  <si>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</si>
  <si>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</si>
  <si>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</si>
  <si>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</si>
  <si>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</si>
  <si>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</si>
  <si>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</si>
  <si>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</si>
  <si>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</si>
  <si>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</si>
  <si>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</si>
  <si>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</si>
  <si>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</si>
  <si>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</si>
  <si>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</si>
  <si>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</si>
  <si>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</si>
  <si>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</si>
  <si>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</si>
  <si>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</si>
  <si>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</si>
  <si>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</si>
  <si>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</si>
  <si>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</si>
  <si>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</si>
  <si>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</si>
  <si>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</si>
  <si>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</si>
  <si>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</si>
  <si>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</si>
  <si>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</si>
  <si>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</si>
  <si>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</si>
  <si>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</si>
  <si>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</si>
  <si>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</si>
  <si>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</si>
  <si>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</si>
  <si>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</si>
  <si>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</si>
  <si>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</si>
  <si>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</si>
  <si>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</si>
  <si>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</si>
  <si>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</si>
  <si>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</si>
  <si>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</si>
  <si>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</si>
  <si>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</si>
  <si>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</si>
  <si>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</si>
  <si>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</si>
  <si>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</si>
  <si>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</si>
  <si>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</si>
  <si>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</si>
  <si>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</si>
  <si>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</si>
  <si>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</si>
  <si>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</si>
  <si>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</si>
  <si>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</si>
  <si>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</si>
  <si>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</si>
  <si>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</si>
  <si>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</si>
  <si>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</si>
  <si>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</si>
  <si>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</si>
  <si>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</si>
  <si>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</si>
  <si>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</si>
  <si>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</si>
  <si>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</si>
  <si>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</si>
  <si>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</si>
  <si>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</si>
  <si>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</si>
  <si>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</si>
  <si>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</si>
  <si>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</si>
  <si>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</si>
  <si>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</si>
  <si>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</si>
  <si>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</si>
  <si>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</si>
  <si>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</si>
  <si>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</si>
  <si>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</si>
  <si>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</si>
  <si>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</si>
  <si>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</si>
  <si>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</si>
  <si>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</si>
  <si>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</si>
  <si>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</si>
  <si>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</si>
  <si>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</si>
  <si>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</si>
  <si>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</si>
  <si>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</si>
  <si>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</si>
  <si>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</si>
  <si>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</si>
  <si>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</si>
  <si>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</si>
  <si>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</si>
  <si>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</si>
  <si>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</si>
  <si>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</si>
  <si>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</si>
  <si>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</si>
  <si>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</si>
  <si>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</si>
  <si>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</si>
  <si>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</si>
  <si>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</si>
  <si>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</si>
  <si>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</si>
  <si>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</si>
  <si>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</si>
  <si>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</si>
  <si>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</si>
  <si>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</si>
  <si>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</si>
  <si>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</si>
  <si>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</si>
  <si>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</si>
  <si>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</si>
  <si>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</si>
  <si>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</si>
  <si>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</si>
  <si>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</si>
  <si>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</si>
  <si>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</si>
  <si>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</si>
  <si>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</si>
  <si>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</si>
  <si>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</si>
  <si>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</si>
  <si>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</si>
  <si>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</si>
  <si>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</si>
  <si>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</si>
  <si>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</si>
  <si>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</si>
  <si>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</si>
  <si>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</si>
  <si>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</si>
  <si>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</si>
  <si>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</si>
  <si>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</si>
  <si>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</si>
  <si>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</si>
  <si>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</si>
  <si>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</si>
  <si>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</si>
  <si>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</si>
  <si>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</si>
  <si>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</si>
  <si>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</si>
  <si>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</si>
  <si>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</si>
  <si>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</si>
  <si>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</si>
  <si>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</si>
  <si>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</si>
  <si>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</si>
  <si>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</si>
  <si>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</si>
  <si>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</si>
  <si>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</si>
  <si>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</si>
  <si>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</si>
  <si>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</si>
  <si>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</si>
  <si>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</si>
  <si>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</si>
  <si>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</si>
  <si>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</si>
  <si>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</si>
  <si>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</si>
  <si>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</si>
  <si>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</si>
  <si>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</si>
  <si>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</si>
  <si>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</si>
  <si>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</si>
  <si>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</si>
  <si>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</si>
  <si>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</si>
  <si>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</si>
  <si>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</si>
  <si>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</si>
  <si>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</si>
  <si>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</si>
  <si>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</si>
  <si>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</si>
  <si>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</si>
  <si>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</si>
  <si>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</si>
  <si>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</si>
  <si>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</si>
  <si>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</si>
  <si>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</si>
  <si>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</si>
  <si>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</si>
  <si>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</si>
  <si>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</si>
  <si>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</si>
  <si>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</si>
  <si>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</si>
  <si>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</si>
  <si>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</si>
  <si>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</si>
  <si>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</si>
  <si>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</si>
  <si>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</si>
  <si>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</si>
  <si>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</si>
  <si>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</si>
  <si>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</si>
  <si>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</si>
  <si>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</si>
  <si>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</si>
  <si>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</si>
  <si>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</si>
  <si>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</si>
  <si>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</si>
  <si>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</si>
  <si>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</si>
  <si>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</si>
  <si>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</si>
  <si>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</si>
  <si>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</si>
  <si>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</si>
  <si>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</si>
  <si>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</si>
  <si>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</si>
  <si>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</si>
  <si>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</si>
  <si>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</si>
  <si>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</si>
  <si>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</si>
  <si>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</si>
  <si>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</si>
  <si>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</si>
  <si>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</si>
  <si>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</si>
  <si>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</si>
  <si>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</si>
  <si>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</si>
  <si>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</si>
  <si>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</si>
  <si>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</si>
  <si>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</si>
  <si>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</si>
  <si>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</si>
  <si>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</si>
  <si>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</si>
  <si>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</si>
  <si>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</si>
  <si>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</si>
  <si>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</si>
  <si>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</si>
  <si>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</si>
  <si>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</si>
  <si>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</si>
  <si>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</si>
  <si>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</si>
  <si>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</si>
  <si>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</si>
  <si>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</si>
  <si>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</si>
  <si>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</si>
  <si>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</si>
  <si>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</si>
  <si>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</si>
  <si>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</si>
  <si>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</si>
  <si>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</si>
  <si>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</si>
  <si>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</si>
  <si>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</si>
  <si>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</si>
  <si>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</si>
  <si>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</si>
  <si>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</si>
  <si>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</si>
  <si>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</si>
  <si>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</si>
  <si>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</si>
  <si>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</si>
  <si>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</si>
  <si>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</si>
  <si>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</si>
  <si>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</si>
  <si>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</si>
  <si>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</si>
  <si>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</si>
  <si>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</si>
  <si>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</si>
  <si>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</si>
  <si>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</si>
  <si>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</si>
  <si>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</si>
  <si>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</si>
  <si>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</si>
  <si>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</si>
  <si>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</si>
  <si>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</si>
  <si>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</si>
  <si>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</si>
  <si>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</si>
  <si>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</si>
  <si>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</si>
  <si>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</si>
  <si>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</si>
  <si>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</si>
  <si>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</si>
  <si>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</si>
  <si>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</si>
  <si>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</si>
  <si>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</si>
  <si>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</si>
  <si>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</si>
  <si>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</si>
  <si>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</si>
  <si>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</si>
  <si>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</si>
  <si>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</si>
  <si>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</si>
  <si>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</si>
  <si>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</si>
  <si>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</si>
  <si>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</si>
  <si>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</si>
  <si>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</si>
  <si>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</si>
  <si>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</si>
  <si>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</si>
  <si>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</si>
  <si>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</si>
  <si>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</si>
  <si>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</si>
  <si>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</si>
  <si>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</si>
  <si>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</si>
  <si>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</si>
  <si>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</si>
  <si>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</si>
  <si>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</si>
  <si>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</si>
  <si>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</si>
  <si>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</si>
  <si>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</si>
  <si>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</si>
  <si>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</si>
  <si>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</si>
  <si>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</si>
  <si>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</si>
  <si>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</si>
  <si>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</si>
  <si>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</si>
  <si>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</si>
  <si>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</si>
  <si>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</si>
  <si>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</si>
  <si>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</si>
  <si>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</si>
  <si>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</si>
  <si>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</si>
  <si>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</si>
  <si>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</si>
  <si>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</si>
  <si>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</si>
  <si>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</si>
  <si>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</si>
  <si>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</si>
  <si>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</si>
  <si>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</si>
  <si>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</si>
  <si>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</si>
  <si>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</si>
  <si>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</si>
  <si>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</si>
  <si>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</si>
  <si>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</si>
  <si>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</si>
  <si>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</si>
  <si>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</si>
  <si>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</si>
  <si>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</si>
  <si>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</si>
  <si>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</si>
  <si>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</si>
  <si>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</si>
  <si>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</si>
  <si>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</si>
  <si>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</si>
  <si>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</si>
  <si>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</si>
  <si>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</si>
  <si>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</si>
  <si>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</si>
  <si>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</si>
  <si>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</si>
  <si>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</si>
  <si>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</si>
  <si>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</si>
  <si>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</si>
  <si>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</si>
  <si>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</si>
  <si>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</si>
  <si>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</si>
  <si>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</si>
  <si>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</si>
  <si>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</si>
  <si>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</si>
  <si>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</si>
  <si>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</si>
  <si>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</si>
  <si>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</si>
  <si>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</si>
  <si>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</si>
  <si>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</si>
  <si>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</si>
  <si>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</si>
  <si>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</si>
  <si>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</si>
  <si>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</si>
  <si>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</si>
  <si>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</si>
  <si>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</si>
  <si>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</si>
  <si>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</si>
  <si>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</si>
  <si>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</si>
  <si>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</si>
  <si>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</si>
  <si>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</si>
  <si>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</si>
  <si>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</si>
  <si>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</si>
  <si>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</si>
  <si>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</si>
  <si>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</si>
  <si>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</si>
  <si>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</si>
  <si>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</si>
  <si>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</si>
  <si>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</si>
  <si>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</si>
  <si>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</si>
  <si>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</si>
  <si>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</si>
  <si>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</si>
  <si>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</si>
  <si>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</si>
  <si>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</si>
  <si>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</si>
  <si>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</si>
  <si>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</si>
  <si>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</si>
  <si>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</si>
  <si>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</si>
  <si>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</si>
  <si>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</si>
  <si>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</si>
  <si>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</si>
  <si>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</si>
  <si>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</si>
  <si>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</si>
  <si>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</si>
  <si>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</si>
  <si>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</si>
  <si>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</si>
  <si>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</si>
  <si>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</si>
  <si>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</si>
  <si>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</si>
  <si>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</si>
  <si>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</si>
  <si>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</si>
  <si>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</si>
  <si>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</si>
  <si>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</si>
  <si>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</si>
  <si>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</si>
  <si>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</si>
  <si>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</si>
  <si>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</si>
  <si>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</si>
  <si>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</si>
  <si>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</si>
  <si>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</si>
  <si>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</si>
  <si>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</si>
  <si>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</si>
  <si>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</si>
  <si>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</si>
  <si>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</si>
  <si>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</si>
  <si>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</si>
  <si>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</si>
  <si>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</si>
  <si>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</si>
  <si>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</si>
  <si>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</si>
  <si>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</si>
  <si>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</si>
  <si>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</si>
  <si>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</si>
  <si>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</si>
  <si>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</si>
  <si>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</si>
  <si>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</si>
  <si>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</si>
  <si>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</si>
  <si>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</si>
  <si>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</si>
  <si>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</si>
  <si>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</si>
  <si>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</si>
  <si>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</si>
  <si>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</si>
  <si>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</si>
  <si>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</si>
  <si>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</si>
  <si>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</si>
  <si>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</si>
  <si>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</si>
  <si>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</si>
  <si>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</si>
  <si>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</si>
  <si>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</si>
  <si>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</si>
  <si>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</si>
  <si>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</si>
  <si>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</si>
  <si>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</si>
  <si>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</si>
  <si>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</si>
  <si>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</si>
  <si>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</si>
  <si>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</si>
  <si>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</si>
  <si>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</si>
  <si>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</si>
  <si>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</si>
  <si>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</si>
  <si>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</si>
  <si>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</si>
  <si>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</si>
  <si>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</si>
  <si>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</si>
  <si>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</si>
  <si>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</si>
  <si>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</si>
  <si>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</si>
  <si>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</si>
  <si>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</si>
  <si>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</si>
  <si>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</si>
  <si>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</si>
  <si>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</si>
  <si>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</si>
  <si>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</si>
  <si>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</si>
  <si>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</si>
  <si>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</si>
  <si>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</si>
  <si>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</si>
  <si>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</si>
  <si>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</si>
  <si>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</si>
  <si>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</si>
  <si>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</si>
  <si>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</si>
  <si>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</si>
  <si>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</si>
  <si>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</si>
  <si>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</si>
  <si>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</si>
  <si>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</si>
  <si>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</si>
  <si>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</si>
  <si>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</si>
  <si>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</si>
  <si>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</si>
  <si>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</si>
  <si>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</si>
  <si>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</si>
  <si>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</si>
  <si>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</si>
  <si>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</si>
  <si>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</si>
  <si>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</si>
  <si>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</si>
  <si>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</si>
  <si>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</si>
  <si>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</si>
  <si>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</si>
  <si>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</si>
  <si>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</si>
  <si>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</si>
  <si>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</si>
  <si>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</si>
  <si>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</si>
  <si>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</si>
  <si>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</si>
  <si>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</si>
  <si>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</si>
  <si>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</si>
  <si>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</si>
  <si>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</si>
  <si>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</si>
  <si>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</si>
  <si>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</si>
  <si>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</si>
  <si>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</si>
  <si>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</si>
  <si>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</si>
  <si>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</si>
  <si>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</si>
  <si>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</si>
  <si>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</si>
  <si>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</si>
  <si>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</si>
  <si>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</si>
  <si>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</si>
  <si>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</si>
  <si>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</si>
  <si>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</si>
  <si>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</si>
  <si>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</si>
  <si>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</si>
  <si>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</si>
  <si>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HUMMEL AG</t>
  </si>
  <si>
    <t>Circular Connector / Cable Glands / Heating Components</t>
  </si>
  <si>
    <t>329322762 (D-U-N-S Nr.)</t>
  </si>
  <si>
    <t>Engineering / Technical Compliance</t>
  </si>
  <si>
    <t>Lise-Meitner-Str. 2, 79211 Denzlingen</t>
  </si>
  <si>
    <t>info@hummel.com</t>
  </si>
  <si>
    <t>+49 (0) 7666/91110-0</t>
  </si>
  <si>
    <t>Mr. C. Koch</t>
  </si>
  <si>
    <t>Vice President ENG</t>
  </si>
  <si>
    <t xml:space="preserve">Mr. C. Latte </t>
  </si>
  <si>
    <t>coating of bodies and housings</t>
  </si>
  <si>
    <t>brass ingredient</t>
  </si>
  <si>
    <t>ingredient of the gold coating</t>
  </si>
  <si>
    <t>In its terms and conditions, the HUMMEL AG requires from all of its suppliers to comply with the applicable laws, regulations and recognized rules of technology.</t>
  </si>
  <si>
    <t>https://www.hummel.com/de/support/compliance</t>
  </si>
  <si>
    <t>https://www.hummel.com/de/support/informationen-fuer-lieferanten/</t>
  </si>
  <si>
    <t>Norway</t>
  </si>
  <si>
    <t>Information out ot the last PRT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</si>
</sst>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12"/>
      <color indexed="12"/>
      <name val="Cambria"/>
      <family val="3"/>
      <charset val="128"/>
      <scheme val="major"/>
    </font>
    <font>
      <sz val="12"/>
      <name val="Cambria"/>
      <family val="3"/>
      <charset val="128"/>
      <scheme val="maj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90">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30" fillId="45" borderId="56" xfId="831" applyNumberFormat="1" applyFont="1" applyFill="1" applyBorder="1" applyAlignment="1" applyProtection="1">
      <alignment horizontal="left" vertical="center" wrapText="1"/>
      <protection locked="0"/>
    </xf>
    <xf numFmtId="49" fontId="131" fillId="45" borderId="11" xfId="0" applyNumberFormat="1" applyFont="1" applyFill="1" applyBorder="1" applyAlignment="1" applyProtection="1">
      <alignment horizontal="left" vertical="center" wrapText="1"/>
      <protection locked="0"/>
    </xf>
    <xf numFmtId="49" fontId="131" fillId="45" borderId="33" xfId="0"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0" fontId="18" fillId="0" borderId="56" xfId="0" applyFont="1" applyBorder="1" applyAlignment="1" applyProtection="1">
      <alignment horizontal="left" wrapText="1"/>
      <protection locked="0"/>
    </xf>
    <xf numFmtId="0" fontId="18" fillId="0" borderId="11" xfId="0" applyFont="1" applyBorder="1" applyAlignment="1" applyProtection="1">
      <alignment horizontal="left" wrapText="1"/>
      <protection locked="0"/>
    </xf>
    <xf numFmtId="0" fontId="18" fillId="0" borderId="33" xfId="0" applyFont="1" applyBorder="1" applyAlignment="1" applyProtection="1">
      <alignment horizontal="left"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cellStyle name="Bad 2 2" xfId="620"/>
    <cellStyle name="Bad 3" xfId="31"/>
    <cellStyle name="Bad 3 2" xfId="621"/>
    <cellStyle name="Berechnung" xfId="680" builtinId="22" customBuiltin="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8" builtinId="20" customBuiltin="1"/>
    <cellStyle name="Ergebnis" xfId="685" builtinId="25" customBuiltin="1"/>
    <cellStyle name="Erklärender Text" xfId="684" builtinId="53" customBuiltin="1"/>
    <cellStyle name="Excel Built-in Normal" xfId="485"/>
    <cellStyle name="Explanatory Text 2" xfId="486"/>
    <cellStyle name="Good 2" xfId="487"/>
    <cellStyle name="Good 2 2" xfId="624"/>
    <cellStyle name="Gut" xfId="675" builtinId="26" customBuiltin="1"/>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 xfId="831" builtinId="8"/>
    <cellStyle name="Linked Cell 2" xfId="500"/>
    <cellStyle name="Neutral" xfId="677" builtinId="28" customBuiltin="1"/>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chlecht" xfId="676" builtinId="27" customBuiltin="1"/>
    <cellStyle name="Standard" xfId="0" builtinId="0"/>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cellStyle name="Zelle überprüfen" xfId="682" builtinId="23" customBuiltin="1"/>
    <cellStyle name="표준 2" xfId="591"/>
    <cellStyle name="一般 7" xfId="592"/>
    <cellStyle name="標準 2" xfId="593"/>
    <cellStyle name="標準 2 2" xfId="594"/>
    <cellStyle name="標準 2 3" xfId="595"/>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mmel.com/de/support/compliance" TargetMode="External"/><Relationship Id="rId2" Type="http://schemas.openxmlformats.org/officeDocument/2006/relationships/hyperlink" Target="mailto:info@hummel.com" TargetMode="External"/><Relationship Id="rId1" Type="http://schemas.openxmlformats.org/officeDocument/2006/relationships/hyperlink" Target="mailto:info@hummel.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hummel.com/de/support/informationen-fuer-lieferanten/"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opLeftCell="A31"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375">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5">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45">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450000000000003"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4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35">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225">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20">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75">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75">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5">
      <c r="A35" s="228"/>
      <c r="B35" s="179"/>
    </row>
    <row r="36" spans="1:2" ht="68.4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50">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30">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4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60">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105">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65">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45">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5.95" customHeight="1">
      <c r="A45" s="218"/>
      <c r="B45" s="179"/>
    </row>
    <row r="46" spans="1:2" ht="15">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1.9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75">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45">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60">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45">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450000000000003" customHeight="1">
      <c r="A55" s="93" t="str">
        <f ca="1">OFFSET(L!$C$1,MATCH("Instructions"&amp;ADDRESS(ROW(),COLUMN(),4),L!$A:$A,0)-1,SL,,)</f>
        <v>8. Straße der Schmelzhütte – Geben Sie den Straßennamen des Schmelzhüttenstandortes an. Das Ausfüllen dieses Feldes ist freiwillig.</v>
      </c>
      <c r="B55" s="179"/>
    </row>
    <row r="56" spans="1:2" ht="30">
      <c r="A56" s="93" t="str">
        <f ca="1">OFFSET(L!$C$1,MATCH("Instructions"&amp;ADDRESS(ROW(),COLUMN(),4),L!$A:$A,0)-1,SL,,)</f>
        <v>9. Ort der Schmelzhütte – Geben Sie den Namen des Ortes an, in dem sich die Schmelzhütte befindet. Das Ausfüllen dieses Feldes ist freiwillig.</v>
      </c>
      <c r="B56" s="179"/>
    </row>
    <row r="57" spans="1:2" ht="33.950000000000003"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95">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5">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90">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105">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30">
      <c r="A63" s="93" t="str">
        <f ca="1">OFFSET(L!$C$1,MATCH("Instructions"&amp;ADDRESS(ROW(),COLUMN(),4),L!$A:$A,0)-1,SL,,)</f>
        <v xml:space="preserve">16. Anmerkungen - geben Sie Ihre Anmerkungen zu den Schmelzhütten in das Textfeld ein. Beispiel: Smelter is being acquired by Company YYY </v>
      </c>
      <c r="B63" s="179"/>
    </row>
    <row r="64" spans="1:2" ht="15">
      <c r="A64" s="218"/>
      <c r="B64" s="179"/>
    </row>
    <row r="65" spans="1:2" ht="15">
      <c r="A65" s="219" t="str">
        <f ca="1">OFFSET(L!$C$1,MATCH("Instructions"&amp;ADDRESS(ROW(),COLUMN(),4),L!$A:$A,0)-1,SL,,)</f>
        <v>Anleitung zum Ausfüllen Registerkarte „Minenliste“.  Die Kommentare nur in englischer Sprache.</v>
      </c>
      <c r="B65" s="179"/>
    </row>
    <row r="66" spans="1:2" ht="45">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30">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5">
      <c r="A68" s="93" t="str">
        <f ca="1">OFFSET(L!$C$1,MATCH("Instructions"&amp;ADDRESS(ROW(),COLUMN(),4),L!$A:$A,0)-1,SL,,)</f>
        <v>3. Name der Bergbauanlage (Bergbaustandort) - Geben Sie den Name der Bergbauanlage so ein, wie Sie ihn kennen.</v>
      </c>
      <c r="B68" s="179"/>
    </row>
    <row r="69" spans="1:2" ht="60">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30">
      <c r="A70" s="93" t="str">
        <f ca="1">OFFSET(L!$C$1,MATCH("Instructions"&amp;ADDRESS(ROW(),COLUMN(),4),L!$A:$A,0)-1,SL,,)</f>
        <v>5. Quelle der Bergbauanlage Identifikationsnummer - das ist die Quelle der Bergbauanlage, welche in der Spalte D eingegeben wurde.</v>
      </c>
      <c r="B70" s="179"/>
    </row>
    <row r="71" spans="1:2" ht="15">
      <c r="A71" s="93" t="str">
        <f ca="1">OFFSET(L!$C$1,MATCH("Instructions"&amp;ADDRESS(ROW(),COLUMN(),4),L!$A:$A,0)-1,SL,,)</f>
        <v>6. Bergbauanlage Land -  Benutzen Sie bitte das Pull-down Menü, um das Land der Bergbauanlage auszuwählen.</v>
      </c>
      <c r="B71" s="179"/>
    </row>
    <row r="72" spans="1:2" ht="30">
      <c r="A72" s="93" t="str">
        <f ca="1">OFFSET(L!$C$1,MATCH("Instructions"&amp;ADDRESS(ROW(),COLUMN(),4),L!$A:$A,0)-1,SL,,)</f>
        <v>7. Straße der Bergbauanlage – Geben Sie den Straßennamen des Bergbauanlage Standortes an. Das Ausfüllen dieses Feldes ist freiwillig.</v>
      </c>
      <c r="B72" s="179"/>
    </row>
    <row r="73" spans="1:2" ht="30">
      <c r="A73" s="93" t="str">
        <f ca="1">OFFSET(L!$C$1,MATCH("Instructions"&amp;ADDRESS(ROW(),COLUMN(),4),L!$A:$A,0)-1,SL,,)</f>
        <v>8. Ort der Bergbauanlage – Geben Sie den Namen des Ortes an, in dem sich die Bergbauanlage befindet. Das Ausfüllen dieses Feldes ist freiwillig.</v>
      </c>
      <c r="B73" s="179"/>
    </row>
    <row r="74" spans="1:2" ht="30">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120">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5">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60">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30">
      <c r="A78" s="93" t="str">
        <f ca="1">OFFSET(L!$C$1,MATCH("Instructions"&amp;ADDRESS(ROW(),COLUMN(),4),L!$A:$A,0)-1,SL,,)</f>
        <v xml:space="preserve">13. Anmerkungen - geben Sie Ihre Anmerkungen zu den Bergbauanlagen in das Textfeld ein. Beispiel: Mine is being acquired by Company YYY </v>
      </c>
      <c r="B78" s="179"/>
    </row>
    <row r="79" spans="1:2" ht="15">
      <c r="A79" s="218"/>
      <c r="B79" s="179"/>
    </row>
    <row r="80" spans="1:2" ht="90">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5">
      <c r="A81" s="218"/>
      <c r="B81" s="179"/>
    </row>
    <row r="82" spans="1:2" ht="18" customHeight="1">
      <c r="A82" s="94" t="str">
        <f ca="1">OFFSET(L!$C$1,MATCH("Instructions"&amp;ADDRESS(ROW(),COLUMN(),4),L!$A:$A,0)-1,SL,,)</f>
        <v>Allgemeine Geschäftsbedingungen (AGB)</v>
      </c>
      <c r="B82" s="179"/>
    </row>
    <row r="83" spans="1:2" ht="150">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75">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75">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50">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5">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30">
      <c r="A88" s="94" t="str">
        <f ca="1">OFFSET(L!$C$1,MATCH("Instructions"&amp;ADDRESS(ROW(),COLUMN(),4),L!$A:$A,0)-1,SL,,)</f>
        <v xml:space="preserve">Beim Bearbeiten und der Benutzung der Liste oder eines jeglichen Werkzeuges und der Beachtung dessen, stimmt der Anwender dem vorhergehenden zu.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5">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6"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Posten</v>
      </c>
      <c r="C2" s="177" t="str">
        <f ca="1">OFFSET(L!$C$1,MATCH("Definitions"&amp;ADDRESS(ROW(),COLUMN(),4),L!$A:$A,0)-1,SL,,)</f>
        <v>Definition</v>
      </c>
      <c r="D2" s="397"/>
      <c r="E2" s="178"/>
    </row>
    <row r="3" spans="1:8" ht="60">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7"/>
      <c r="E3" s="179"/>
    </row>
    <row r="4" spans="1:8" ht="60">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7"/>
      <c r="E4" s="179" t="s">
        <v>13</v>
      </c>
    </row>
    <row r="5" spans="1:8" ht="75">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7"/>
      <c r="E5" s="179"/>
    </row>
    <row r="6" spans="1:8" ht="75">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7"/>
      <c r="E6" s="179"/>
    </row>
    <row r="7" spans="1:8" ht="13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7"/>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7"/>
      <c r="E8" s="179"/>
    </row>
    <row r="9" spans="1:8" ht="75">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7"/>
      <c r="E9" s="179" t="s">
        <v>15</v>
      </c>
    </row>
    <row r="10" spans="1:8" ht="75">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7"/>
      <c r="E10" s="179" t="s">
        <v>16</v>
      </c>
    </row>
    <row r="11" spans="1:8" ht="90">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7"/>
      <c r="E11" s="179" t="s">
        <v>15</v>
      </c>
      <c r="H11" s="156">
        <v>14</v>
      </c>
    </row>
    <row r="12" spans="1:8" ht="45">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7"/>
      <c r="E12" s="179"/>
    </row>
    <row r="13" spans="1:8" ht="90">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7"/>
      <c r="E13" s="179"/>
    </row>
    <row r="14" spans="1:8" ht="135">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7"/>
      <c r="E14" s="179"/>
    </row>
    <row r="15" spans="1:8" ht="30">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7"/>
      <c r="E15" s="179"/>
    </row>
    <row r="16" spans="1:8" ht="45">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7"/>
      <c r="E16" s="179" t="s">
        <v>15</v>
      </c>
    </row>
    <row r="17" spans="1:5" ht="90">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7"/>
      <c r="E17" s="179"/>
    </row>
    <row r="18" spans="1:5" ht="75">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7"/>
      <c r="E18" s="179"/>
    </row>
    <row r="19" spans="1:5" ht="120">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7"/>
      <c r="E19" s="179"/>
    </row>
    <row r="20" spans="1:5" ht="4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7"/>
      <c r="E20" s="179"/>
    </row>
    <row r="21" spans="1:5" ht="165">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7"/>
      <c r="E21" s="179" t="s">
        <v>15</v>
      </c>
    </row>
    <row r="22" spans="1:5" ht="75">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7"/>
      <c r="E22" s="179" t="s">
        <v>16</v>
      </c>
    </row>
    <row r="23" spans="1:5" ht="60">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7"/>
      <c r="E23" s="179"/>
    </row>
    <row r="24" spans="1:5" ht="180">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7"/>
      <c r="E24" s="179" t="s">
        <v>15</v>
      </c>
    </row>
    <row r="25" spans="1:5" ht="16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7"/>
      <c r="E25" s="179" t="s">
        <v>13</v>
      </c>
    </row>
    <row r="26" spans="1:5" ht="90">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7"/>
      <c r="E26" s="179"/>
    </row>
    <row r="27" spans="1:5" ht="60">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7"/>
      <c r="E27" s="179"/>
    </row>
    <row r="28" spans="1:5" ht="15">
      <c r="A28" s="176"/>
      <c r="B28" s="399" t="str">
        <f ca="1">OFFSET(L!$C$1,MATCH("Definitions"&amp;ADDRESS(ROW(),COLUMN(),4),L!$A:$A,0)-1,SL,,)</f>
        <v>* Weitere Informationen zu primären und sekundären Quellen für dieses Mineral finden Sie im EMRT-Leitfaden zum Ausfüllen.</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Normal="100" workbookViewId="0">
      <selection activeCell="D21" sqref="D21:J21"/>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Erweiterte Vorlage für Mineralienberichte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42"/>
      <c r="F3" s="443"/>
      <c r="G3" s="443"/>
      <c r="H3" s="443"/>
      <c r="I3" s="443"/>
      <c r="J3" s="190" t="s">
        <v>19342</v>
      </c>
      <c r="K3" s="29"/>
      <c r="L3" s="102"/>
      <c r="P3" s="38">
        <f>MATCH($D$3,LN,0)</f>
        <v>6</v>
      </c>
    </row>
    <row r="4" spans="1:34" ht="15.75">
      <c r="A4" s="27"/>
      <c r="B4" s="415" t="str">
        <f ca="1">OFFSET(L!$C$1,MATCH("Declaration"&amp;ADDRESS(ROW(),COLUMN(),4),L!$A:$A,0)-1,SL,,)</f>
        <v>Der Zweck dieses Dokuments ist die Erfassung von Beschaffungsinformationen für Cobalt und natürlicher Glimmer, welche in Produkten genutzt werden.</v>
      </c>
      <c r="C4" s="415"/>
      <c r="D4" s="415"/>
      <c r="E4" s="415"/>
      <c r="F4" s="415"/>
      <c r="G4" s="415"/>
      <c r="H4" s="415"/>
      <c r="I4" s="419" t="str">
        <f ca="1">OFFSET(L!$C$1,MATCH("Declaration"&amp;ADDRESS(ROW(),COLUMN(),4),L!$A:$A,0)-1,SL,,)</f>
        <v>Link zu den Bedingungen</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Pflichtfelder sind mit einem Sternchen (*) gekennzeichnet.  Im Tab „Instruktionen“ finden Sie eine Anleitung zur Beantwortung aller Fragen.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Firmenangaben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Firmenname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Geltungsbereich der Erklärung (*):</v>
      </c>
      <c r="C9" s="66"/>
      <c r="D9" s="448" t="s">
        <v>19</v>
      </c>
      <c r="E9" s="449"/>
      <c r="F9" s="449"/>
      <c r="G9" s="45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Beschreibung des Geltungsbereichs</v>
      </c>
      <c r="C10" s="112"/>
      <c r="D10" s="416" t="s">
        <v>20052</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Das antragstellende Unternehmen muss alle Mineralien ausgewählt, die in den Geltungsbereich der Erklärung fallen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7"/>
      <c r="D16" s="412" t="s">
        <v>20053</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7"/>
      <c r="D17" s="412" t="s">
        <v>20054</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7"/>
      <c r="D18" s="412" t="s">
        <v>20055</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7"/>
      <c r="D19" s="412" t="s">
        <v>20060</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ustomHeight="1">
      <c r="A20" s="31"/>
      <c r="B20" s="33" t="str">
        <f ca="1">OFFSET(L!$C$1,MATCH("Declaration"&amp;ADDRESS(ROW(),COLUMN(),4),L!$A:$A,0)-1,SL,,)</f>
        <v>E-Mail-Adresse des Ansprechpartners (*):</v>
      </c>
      <c r="C20" s="67"/>
      <c r="D20" s="434" t="s">
        <v>20056</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ustomHeight="1">
      <c r="A21" s="31"/>
      <c r="B21" s="33" t="str">
        <f ca="1">OFFSET(L!$C$1,MATCH("Declaration"&amp;ADDRESS(ROW(),COLUMN(),4),L!$A:$A,0)-1,SL,,)</f>
        <v>Telefonnummer des Ansprechpartners (*):</v>
      </c>
      <c r="C21" s="67"/>
      <c r="D21" s="412" t="s">
        <v>20057</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7"/>
      <c r="D22" s="445" t="s">
        <v>20058</v>
      </c>
      <c r="E22" s="446"/>
      <c r="F22" s="446"/>
      <c r="G22" s="446"/>
      <c r="H22" s="446"/>
      <c r="I22" s="446"/>
      <c r="J22" s="447"/>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7"/>
      <c r="D23" s="412" t="s">
        <v>20059</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7"/>
      <c r="D24" s="434" t="s">
        <v>20056</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4"/>
      <c r="D25" s="453" t="s">
        <v>20057</v>
      </c>
      <c r="E25" s="454"/>
      <c r="F25" s="454"/>
      <c r="G25" s="454"/>
      <c r="H25" s="454"/>
      <c r="I25" s="454"/>
      <c r="J25" s="45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8"/>
      <c r="D26" s="440">
        <v>45799</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2"/>
      <c r="E27" s="452"/>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6" t="str">
        <f ca="1">OFFSET(L!$C$1,MATCH("Declaration"&amp;ADDRESS(ROW(),COLUMN(),4),L!$A:$A,0)-1,SL,,)</f>
        <v>Beantworten Sie die Fragen 1 - 7 entsprechend dem oben angegebenen Geltungsbereich</v>
      </c>
      <c r="C28" s="456"/>
      <c r="D28" s="456"/>
      <c r="E28" s="456"/>
      <c r="F28" s="456"/>
      <c r="G28" s="456"/>
      <c r="H28" s="456"/>
      <c r="I28" s="456"/>
      <c r="J28" s="456"/>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51" t="str">
        <f ca="1">OFFSET(L!$C$1,MATCH("Declaration"&amp;ADDRESS(ROW(),COLUMN(),4),L!$A:$A,0)-1,SL,,)</f>
        <v>Antwort</v>
      </c>
      <c r="E29" s="451"/>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t="s">
        <v>20063</v>
      </c>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t="s">
        <v>20062</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t="s">
        <v>20061</v>
      </c>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39" t="str">
        <f ca="1">D29</f>
        <v>Antwort</v>
      </c>
      <c r="E41" s="439"/>
      <c r="F41" s="14"/>
      <c r="G41" s="37" t="str">
        <f ca="1">G29</f>
        <v>Kommentare</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t="s">
        <v>20063</v>
      </c>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t="s">
        <v>20062</v>
      </c>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t="s">
        <v>20061</v>
      </c>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39" t="str">
        <f ca="1">D29</f>
        <v>Antwort</v>
      </c>
      <c r="E53" s="439"/>
      <c r="F53" s="14"/>
      <c r="G53" s="37" t="str">
        <f ca="1">G29</f>
        <v>Kommentare</v>
      </c>
      <c r="H53" s="444"/>
      <c r="I53" s="444"/>
      <c r="J53" s="44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25</v>
      </c>
      <c r="E55" s="438"/>
      <c r="F55" s="40"/>
      <c r="G55" s="400" t="s">
        <v>20068</v>
      </c>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ustomHeight="1">
      <c r="A59" s="34"/>
      <c r="B59" s="300" t="str">
        <f>IF(ISERROR(AA$17),"",AA$17&amp;"")&amp;P$59</f>
        <v>Nickel(*)</v>
      </c>
      <c r="C59" s="6"/>
      <c r="D59" s="437" t="s">
        <v>25</v>
      </c>
      <c r="E59" s="438"/>
      <c r="F59" s="40"/>
      <c r="G59" s="400" t="s">
        <v>20068</v>
      </c>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3.75" customHeight="1">
      <c r="A65" s="34"/>
      <c r="B65" s="37" t="str">
        <f ca="1">OFFSET(L!$C$1,MATCH("Declaration"&amp;ADDRESS(ROW(),COLUMN(),4),L!$A:$A,0)-1,SL,,)&amp;Q53</f>
        <v>4) Stammt 100 Prozent des angegebenen Mineralien aus Recycling- oder Schrottquellen?(*)</v>
      </c>
      <c r="C65" s="6"/>
      <c r="D65" s="439" t="str">
        <f ca="1">D29</f>
        <v>Antwort</v>
      </c>
      <c r="E65" s="439"/>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t="s">
        <v>20068</v>
      </c>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22</v>
      </c>
      <c r="E71" s="438"/>
      <c r="F71" s="40"/>
      <c r="G71" s="400" t="s">
        <v>20068</v>
      </c>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39" t="str">
        <f ca="1">D29</f>
        <v>Antwort</v>
      </c>
      <c r="E77" s="439"/>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27</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ustomHeight="1">
      <c r="A79" s="34"/>
      <c r="B79" s="300" t="str">
        <f>IF(ISERROR(AA$13),"",AA$13&amp;"")&amp;P$55</f>
        <v>Copper(*)</v>
      </c>
      <c r="C79" s="28"/>
      <c r="D79" s="437" t="s">
        <v>27</v>
      </c>
      <c r="E79" s="438"/>
      <c r="F79" s="40"/>
      <c r="G79" s="400" t="s">
        <v>20068</v>
      </c>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27</v>
      </c>
      <c r="E83" s="438"/>
      <c r="F83" s="40"/>
      <c r="G83" s="400" t="s">
        <v>20068</v>
      </c>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Kennen Sie alle Verhüttungsbetriebe oder Verarbeitungsunternehmen, die das angegebenen Mineralien für Ihre Lieferkette bereitstellen?(*)</v>
      </c>
      <c r="C89" s="6"/>
      <c r="D89" s="439" t="str">
        <f ca="1">D29</f>
        <v>Antwort</v>
      </c>
      <c r="E89" s="439"/>
      <c r="F89" s="14"/>
      <c r="G89" s="37" t="str">
        <f ca="1">G29</f>
        <v>Kommentare</v>
      </c>
      <c r="H89" s="457"/>
      <c r="I89" s="457"/>
      <c r="J89" s="457"/>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ustomHeight="1">
      <c r="A91" s="34"/>
      <c r="B91" s="300" t="str">
        <f>IF(ISERROR(AA$13),"",AA$13&amp;"")&amp;P$55</f>
        <v>Copper(*)</v>
      </c>
      <c r="C91" s="6"/>
      <c r="D91" s="437" t="s">
        <v>25</v>
      </c>
      <c r="E91" s="438"/>
      <c r="F91" s="40"/>
      <c r="G91" s="400" t="s">
        <v>20068</v>
      </c>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ustomHeight="1">
      <c r="A95" s="34"/>
      <c r="B95" s="300" t="str">
        <f>IF(ISERROR(AA$17),"",AA$17&amp;"")&amp;P$59</f>
        <v>Nickel(*)</v>
      </c>
      <c r="C95" s="6"/>
      <c r="D95" s="437" t="s">
        <v>25</v>
      </c>
      <c r="E95" s="438"/>
      <c r="F95" s="40"/>
      <c r="G95" s="400" t="s">
        <v>20068</v>
      </c>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39" t="str">
        <f ca="1">D29</f>
        <v>Antwort</v>
      </c>
      <c r="E101" s="439"/>
      <c r="F101" s="14"/>
      <c r="G101" s="37" t="str">
        <f ca="1">G29</f>
        <v>Kommentare</v>
      </c>
      <c r="H101" s="457" t="str">
        <f>IF(Q115="(*)","Click here to enter smelter names","")</f>
        <v/>
      </c>
      <c r="I101" s="457"/>
      <c r="J101" s="457"/>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8" t="str">
        <f ca="1">OFFSET(L!$C$1,MATCH("Declaration"&amp;ADDRESS(ROW(),COLUMN(),4),L!$A:$A,0)-1,SL,,)</f>
        <v>Beantworten Sie folgende Fragen auf Firmenebene</v>
      </c>
      <c r="C113" s="458"/>
      <c r="D113" s="458"/>
      <c r="E113" s="458"/>
      <c r="F113" s="458"/>
      <c r="G113" s="458"/>
      <c r="H113" s="458"/>
      <c r="I113" s="458"/>
      <c r="J113" s="45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1"/>
      <c r="D114" s="451" t="str">
        <f ca="1">D29</f>
        <v>Antwort</v>
      </c>
      <c r="E114" s="451"/>
      <c r="F114" s="46"/>
      <c r="G114" s="451" t="str">
        <f ca="1">G29</f>
        <v>Kommentare</v>
      </c>
      <c r="H114" s="451" t="e">
        <f>HLOOKUP(SL,LT,$O114,0)</f>
        <v>#NAME?</v>
      </c>
      <c r="I114" s="45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37" t="s">
        <v>25</v>
      </c>
      <c r="E115" s="438"/>
      <c r="F115" s="50"/>
      <c r="G115" s="400" t="s">
        <v>20066</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9"/>
      <c r="H116" s="459"/>
      <c r="I116" s="459"/>
      <c r="J116" s="45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37" t="s">
        <v>25</v>
      </c>
      <c r="E117" s="438"/>
      <c r="F117" s="50"/>
      <c r="G117" s="460" t="s">
        <v>20065</v>
      </c>
      <c r="H117" s="461"/>
      <c r="I117" s="461"/>
      <c r="J117" s="462"/>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63"/>
      <c r="E119" s="463"/>
      <c r="F119" s="233"/>
      <c r="G119" s="464"/>
      <c r="H119" s="464"/>
      <c r="I119" s="464"/>
      <c r="J119" s="464"/>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t="s">
        <v>20064</v>
      </c>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25</v>
      </c>
      <c r="E121" s="438"/>
      <c r="F121" s="8"/>
      <c r="G121" s="400" t="s">
        <v>20064</v>
      </c>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25</v>
      </c>
      <c r="E125" s="438"/>
      <c r="F125" s="8"/>
      <c r="G125" s="400" t="s">
        <v>20064</v>
      </c>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68" t="s">
        <v>32</v>
      </c>
      <c r="E133" s="469"/>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9"/>
      <c r="H134" s="459"/>
      <c r="I134" s="459"/>
      <c r="J134" s="45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70"/>
      <c r="H136" s="470"/>
      <c r="I136" s="470"/>
      <c r="J136" s="47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5" t="str">
        <f>IF(OR($D$8="",$I$3=""),"","Click here to check required fields completion")</f>
        <v/>
      </c>
      <c r="C138" s="465"/>
      <c r="D138" s="465"/>
      <c r="E138" s="465"/>
      <c r="F138" s="465"/>
      <c r="G138" s="465"/>
      <c r="H138" s="465"/>
      <c r="I138" s="465"/>
      <c r="J138" s="465"/>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6" t="str">
        <f ca="1">OFFSET(L!$C$1,MATCH("General"&amp;"Cpy",L!$A:$A,0)-1,SL,,)</f>
        <v>© 2025 Responsible Minerals Initiative. All rights reserved.</v>
      </c>
      <c r="B139" s="467"/>
      <c r="C139" s="467"/>
      <c r="D139" s="467"/>
      <c r="E139" s="467"/>
      <c r="F139" s="467"/>
      <c r="G139" s="467"/>
      <c r="H139" s="467"/>
      <c r="I139" s="467"/>
      <c r="J139" s="467"/>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16" stopIfTrue="1">
      <formula>IF($B$30="",TRUE)</formula>
    </cfRule>
  </conditionalFormatting>
  <conditionalFormatting sqref="B31">
    <cfRule type="expression" dxfId="339" priority="314">
      <formula>IF($B$31="",TRUE)</formula>
    </cfRule>
  </conditionalFormatting>
  <conditionalFormatting sqref="B32">
    <cfRule type="expression" dxfId="338" priority="313">
      <formula>IF($B$32="",TRUE)</formula>
    </cfRule>
  </conditionalFormatting>
  <conditionalFormatting sqref="B33">
    <cfRule type="expression" dxfId="337" priority="312">
      <formula>IF($B$33="",TRUE)</formula>
    </cfRule>
  </conditionalFormatting>
  <conditionalFormatting sqref="B34">
    <cfRule type="expression" dxfId="336" priority="311">
      <formula>IF($B$34="",TRUE)</formula>
    </cfRule>
  </conditionalFormatting>
  <conditionalFormatting sqref="B35">
    <cfRule type="expression" dxfId="335" priority="310">
      <formula>IF($B$35="",TRUE)</formula>
    </cfRule>
  </conditionalFormatting>
  <conditionalFormatting sqref="B36">
    <cfRule type="expression" dxfId="334" priority="309">
      <formula>IF($B$36="",TRUE)</formula>
    </cfRule>
  </conditionalFormatting>
  <conditionalFormatting sqref="B37">
    <cfRule type="expression" dxfId="333" priority="308">
      <formula>IF($B$37="",TRUE)</formula>
    </cfRule>
  </conditionalFormatting>
  <conditionalFormatting sqref="B38">
    <cfRule type="expression" dxfId="332" priority="307">
      <formula>IF($B$38="",TRUE)</formula>
    </cfRule>
  </conditionalFormatting>
  <conditionalFormatting sqref="B39">
    <cfRule type="expression" dxfId="331" priority="306">
      <formula>IF($B$39="",TRUE)</formula>
    </cfRule>
  </conditionalFormatting>
  <conditionalFormatting sqref="B42">
    <cfRule type="expression" dxfId="330" priority="288" stopIfTrue="1">
      <formula>IF($B$42="",TRUE)</formula>
    </cfRule>
  </conditionalFormatting>
  <conditionalFormatting sqref="B43">
    <cfRule type="expression" dxfId="329" priority="287" stopIfTrue="1">
      <formula>IF($B$43="",TRUE)</formula>
    </cfRule>
  </conditionalFormatting>
  <conditionalFormatting sqref="B44">
    <cfRule type="expression" dxfId="328" priority="286" stopIfTrue="1">
      <formula>IF($B$44="",TRUE)</formula>
    </cfRule>
  </conditionalFormatting>
  <conditionalFormatting sqref="B45">
    <cfRule type="expression" dxfId="327" priority="285" stopIfTrue="1">
      <formula>IF($B$45="",TRUE)</formula>
    </cfRule>
  </conditionalFormatting>
  <conditionalFormatting sqref="B46">
    <cfRule type="expression" dxfId="326" priority="284" stopIfTrue="1">
      <formula>IF($B$46="",TRUE)</formula>
    </cfRule>
  </conditionalFormatting>
  <conditionalFormatting sqref="B47">
    <cfRule type="expression" dxfId="325" priority="283" stopIfTrue="1">
      <formula>IF($B$47="",TRUE)</formula>
    </cfRule>
  </conditionalFormatting>
  <conditionalFormatting sqref="B48">
    <cfRule type="expression" dxfId="324" priority="282" stopIfTrue="1">
      <formula>IF($B$48="",TRUE)</formula>
    </cfRule>
  </conditionalFormatting>
  <conditionalFormatting sqref="B49">
    <cfRule type="expression" dxfId="323" priority="281" stopIfTrue="1">
      <formula>IF($B$49="",TRUE)</formula>
    </cfRule>
  </conditionalFormatting>
  <conditionalFormatting sqref="B50">
    <cfRule type="expression" dxfId="322" priority="280" stopIfTrue="1">
      <formula>IF($B$50="",TRUE)</formula>
    </cfRule>
  </conditionalFormatting>
  <conditionalFormatting sqref="B51">
    <cfRule type="expression" dxfId="321" priority="279" stopIfTrue="1">
      <formula>IF($B$51="",TRUE)</formula>
    </cfRule>
  </conditionalFormatting>
  <conditionalFormatting sqref="B54">
    <cfRule type="expression" dxfId="320" priority="271" stopIfTrue="1">
      <formula>IF($B$54="",TRUE)</formula>
    </cfRule>
  </conditionalFormatting>
  <conditionalFormatting sqref="B55">
    <cfRule type="expression" dxfId="319" priority="253" stopIfTrue="1">
      <formula>IF($B$55="",TRUE)</formula>
    </cfRule>
  </conditionalFormatting>
  <conditionalFormatting sqref="B56">
    <cfRule type="expression" dxfId="318" priority="270" stopIfTrue="1">
      <formula>IF($B$56="",TRUE)</formula>
    </cfRule>
  </conditionalFormatting>
  <conditionalFormatting sqref="B57">
    <cfRule type="expression" dxfId="317" priority="269" stopIfTrue="1">
      <formula>IF($B$57="",TRUE)</formula>
    </cfRule>
  </conditionalFormatting>
  <conditionalFormatting sqref="B58">
    <cfRule type="expression" dxfId="316" priority="268" stopIfTrue="1">
      <formula>IF($B$58="",TRUE)</formula>
    </cfRule>
  </conditionalFormatting>
  <conditionalFormatting sqref="B59">
    <cfRule type="expression" dxfId="315" priority="267" stopIfTrue="1">
      <formula>IF($B$59="",TRUE)</formula>
    </cfRule>
  </conditionalFormatting>
  <conditionalFormatting sqref="B60">
    <cfRule type="expression" dxfId="314" priority="266" stopIfTrue="1">
      <formula>IF($B$60="",TRUE)</formula>
    </cfRule>
  </conditionalFormatting>
  <conditionalFormatting sqref="B61">
    <cfRule type="expression" dxfId="313" priority="265" stopIfTrue="1">
      <formula>IF($B$61="",TRUE)</formula>
    </cfRule>
  </conditionalFormatting>
  <conditionalFormatting sqref="B62">
    <cfRule type="expression" dxfId="312" priority="264" stopIfTrue="1">
      <formula>IF($B$62="",TRUE)</formula>
    </cfRule>
  </conditionalFormatting>
  <conditionalFormatting sqref="B63">
    <cfRule type="expression" dxfId="311" priority="263" stopIfTrue="1">
      <formula>IF($B$63="",TRUE)</formula>
    </cfRule>
  </conditionalFormatting>
  <conditionalFormatting sqref="B66">
    <cfRule type="expression" dxfId="310" priority="262" stopIfTrue="1">
      <formula>IF($B$54="",TRUE)</formula>
    </cfRule>
  </conditionalFormatting>
  <conditionalFormatting sqref="B67">
    <cfRule type="expression" dxfId="309" priority="252" stopIfTrue="1">
      <formula>IF($B$55="",TRUE)</formula>
    </cfRule>
  </conditionalFormatting>
  <conditionalFormatting sqref="B68">
    <cfRule type="expression" dxfId="308" priority="261" stopIfTrue="1">
      <formula>IF($B$56="",TRUE)</formula>
    </cfRule>
  </conditionalFormatting>
  <conditionalFormatting sqref="B69">
    <cfRule type="expression" dxfId="307" priority="260" stopIfTrue="1">
      <formula>IF($B$57="",TRUE)</formula>
    </cfRule>
  </conditionalFormatting>
  <conditionalFormatting sqref="B70">
    <cfRule type="expression" dxfId="306" priority="259" stopIfTrue="1">
      <formula>IF($B$58="",TRUE)</formula>
    </cfRule>
  </conditionalFormatting>
  <conditionalFormatting sqref="B71">
    <cfRule type="expression" dxfId="305" priority="258" stopIfTrue="1">
      <formula>IF($B$59="",TRUE)</formula>
    </cfRule>
  </conditionalFormatting>
  <conditionalFormatting sqref="B72">
    <cfRule type="expression" dxfId="304" priority="257" stopIfTrue="1">
      <formula>IF($B$60="",TRUE)</formula>
    </cfRule>
  </conditionalFormatting>
  <conditionalFormatting sqref="B73">
    <cfRule type="expression" dxfId="303" priority="256" stopIfTrue="1">
      <formula>IF($B$61="",TRUE)</formula>
    </cfRule>
  </conditionalFormatting>
  <conditionalFormatting sqref="B74">
    <cfRule type="expression" dxfId="302" priority="255" stopIfTrue="1">
      <formula>IF($B$62="",TRUE)</formula>
    </cfRule>
  </conditionalFormatting>
  <conditionalFormatting sqref="B75">
    <cfRule type="expression" dxfId="301" priority="254" stopIfTrue="1">
      <formula>IF($B$63="",TRUE)</formula>
    </cfRule>
  </conditionalFormatting>
  <conditionalFormatting sqref="B78">
    <cfRule type="expression" dxfId="300" priority="251" stopIfTrue="1">
      <formula>IF($B$54="",TRUE)</formula>
    </cfRule>
  </conditionalFormatting>
  <conditionalFormatting sqref="B79">
    <cfRule type="expression" dxfId="299" priority="242" stopIfTrue="1">
      <formula>IF($B$55="",TRUE)</formula>
    </cfRule>
  </conditionalFormatting>
  <conditionalFormatting sqref="B80">
    <cfRule type="expression" dxfId="298" priority="250" stopIfTrue="1">
      <formula>IF($B$56="",TRUE)</formula>
    </cfRule>
  </conditionalFormatting>
  <conditionalFormatting sqref="B81">
    <cfRule type="expression" dxfId="297" priority="249" stopIfTrue="1">
      <formula>IF($B$57="",TRUE)</formula>
    </cfRule>
  </conditionalFormatting>
  <conditionalFormatting sqref="B82">
    <cfRule type="expression" dxfId="296" priority="248" stopIfTrue="1">
      <formula>IF($B$58="",TRUE)</formula>
    </cfRule>
  </conditionalFormatting>
  <conditionalFormatting sqref="B83">
    <cfRule type="expression" dxfId="295" priority="247" stopIfTrue="1">
      <formula>IF($B$59="",TRUE)</formula>
    </cfRule>
  </conditionalFormatting>
  <conditionalFormatting sqref="B84">
    <cfRule type="expression" dxfId="294" priority="246" stopIfTrue="1">
      <formula>IF($B$60="",TRUE)</formula>
    </cfRule>
  </conditionalFormatting>
  <conditionalFormatting sqref="B85">
    <cfRule type="expression" dxfId="293" priority="245" stopIfTrue="1">
      <formula>IF($B$61="",TRUE)</formula>
    </cfRule>
  </conditionalFormatting>
  <conditionalFormatting sqref="B86">
    <cfRule type="expression" dxfId="292" priority="244" stopIfTrue="1">
      <formula>IF($B$62="",TRUE)</formula>
    </cfRule>
  </conditionalFormatting>
  <conditionalFormatting sqref="B87">
    <cfRule type="expression" dxfId="291" priority="243" stopIfTrue="1">
      <formula>IF($B$63="",TRUE)</formula>
    </cfRule>
  </conditionalFormatting>
  <conditionalFormatting sqref="B90">
    <cfRule type="expression" dxfId="290" priority="241" stopIfTrue="1">
      <formula>IF($B$54="",TRUE)</formula>
    </cfRule>
  </conditionalFormatting>
  <conditionalFormatting sqref="B91">
    <cfRule type="expression" dxfId="289" priority="232" stopIfTrue="1">
      <formula>IF($B$55="",TRUE)</formula>
    </cfRule>
  </conditionalFormatting>
  <conditionalFormatting sqref="B92">
    <cfRule type="expression" dxfId="288" priority="240" stopIfTrue="1">
      <formula>IF($B$56="",TRUE)</formula>
    </cfRule>
  </conditionalFormatting>
  <conditionalFormatting sqref="B93">
    <cfRule type="expression" dxfId="287" priority="239" stopIfTrue="1">
      <formula>IF($B$57="",TRUE)</formula>
    </cfRule>
  </conditionalFormatting>
  <conditionalFormatting sqref="B94">
    <cfRule type="expression" dxfId="286" priority="238" stopIfTrue="1">
      <formula>IF($B$58="",TRUE)</formula>
    </cfRule>
  </conditionalFormatting>
  <conditionalFormatting sqref="B95">
    <cfRule type="expression" dxfId="285" priority="237" stopIfTrue="1">
      <formula>IF($B$59="",TRUE)</formula>
    </cfRule>
  </conditionalFormatting>
  <conditionalFormatting sqref="B96">
    <cfRule type="expression" dxfId="284" priority="236" stopIfTrue="1">
      <formula>IF($B$60="",TRUE)</formula>
    </cfRule>
  </conditionalFormatting>
  <conditionalFormatting sqref="B97">
    <cfRule type="expression" dxfId="283" priority="235" stopIfTrue="1">
      <formula>IF($B$61="",TRUE)</formula>
    </cfRule>
  </conditionalFormatting>
  <conditionalFormatting sqref="B98">
    <cfRule type="expression" dxfId="282" priority="234" stopIfTrue="1">
      <formula>IF($B$62="",TRUE)</formula>
    </cfRule>
  </conditionalFormatting>
  <conditionalFormatting sqref="B99">
    <cfRule type="expression" dxfId="281" priority="233" stopIfTrue="1">
      <formula>IF($B$63="",TRUE)</formula>
    </cfRule>
  </conditionalFormatting>
  <conditionalFormatting sqref="B102">
    <cfRule type="expression" dxfId="280" priority="231" stopIfTrue="1">
      <formula>IF($B$54="",TRUE)</formula>
    </cfRule>
  </conditionalFormatting>
  <conditionalFormatting sqref="B103">
    <cfRule type="expression" dxfId="279" priority="222" stopIfTrue="1">
      <formula>IF($B$55="",TRUE)</formula>
    </cfRule>
  </conditionalFormatting>
  <conditionalFormatting sqref="B104">
    <cfRule type="expression" dxfId="278" priority="230" stopIfTrue="1">
      <formula>IF($B$56="",TRUE)</formula>
    </cfRule>
  </conditionalFormatting>
  <conditionalFormatting sqref="B105">
    <cfRule type="expression" dxfId="277" priority="229" stopIfTrue="1">
      <formula>IF($B$57="",TRUE)</formula>
    </cfRule>
  </conditionalFormatting>
  <conditionalFormatting sqref="B106">
    <cfRule type="expression" dxfId="276" priority="228" stopIfTrue="1">
      <formula>IF($B$58="",TRUE)</formula>
    </cfRule>
  </conditionalFormatting>
  <conditionalFormatting sqref="B107">
    <cfRule type="expression" dxfId="275" priority="227" stopIfTrue="1">
      <formula>IF($B$59="",TRUE)</formula>
    </cfRule>
  </conditionalFormatting>
  <conditionalFormatting sqref="B108">
    <cfRule type="expression" dxfId="274" priority="226" stopIfTrue="1">
      <formula>IF($B$60="",TRUE)</formula>
    </cfRule>
  </conditionalFormatting>
  <conditionalFormatting sqref="B109">
    <cfRule type="expression" dxfId="273" priority="225" stopIfTrue="1">
      <formula>IF($B$61="",TRUE)</formula>
    </cfRule>
  </conditionalFormatting>
  <conditionalFormatting sqref="B110">
    <cfRule type="expression" dxfId="272" priority="224" stopIfTrue="1">
      <formula>IF($B$62="",TRUE)</formula>
    </cfRule>
  </conditionalFormatting>
  <conditionalFormatting sqref="B111">
    <cfRule type="expression" dxfId="271" priority="223" stopIfTrue="1">
      <formula>IF($B$63="",TRUE)</formula>
    </cfRule>
  </conditionalFormatting>
  <conditionalFormatting sqref="B120">
    <cfRule type="expression" dxfId="270" priority="200" stopIfTrue="1">
      <formula>IF($B$54="",TRUE)</formula>
    </cfRule>
  </conditionalFormatting>
  <conditionalFormatting sqref="B121">
    <cfRule type="expression" dxfId="269" priority="191" stopIfTrue="1">
      <formula>IF($B$55="",TRUE)</formula>
    </cfRule>
  </conditionalFormatting>
  <conditionalFormatting sqref="B122">
    <cfRule type="expression" dxfId="268" priority="199" stopIfTrue="1">
      <formula>IF($B$56="",TRUE)</formula>
    </cfRule>
  </conditionalFormatting>
  <conditionalFormatting sqref="B123">
    <cfRule type="expression" dxfId="267" priority="198" stopIfTrue="1">
      <formula>IF($B$57="",TRUE)</formula>
    </cfRule>
  </conditionalFormatting>
  <conditionalFormatting sqref="B124">
    <cfRule type="expression" dxfId="266" priority="197" stopIfTrue="1">
      <formula>IF($B$58="",TRUE)</formula>
    </cfRule>
  </conditionalFormatting>
  <conditionalFormatting sqref="B125">
    <cfRule type="expression" dxfId="265" priority="196" stopIfTrue="1">
      <formula>IF($B$59="",TRUE)</formula>
    </cfRule>
  </conditionalFormatting>
  <conditionalFormatting sqref="B126">
    <cfRule type="expression" dxfId="264" priority="195" stopIfTrue="1">
      <formula>IF($B$60="",TRUE)</formula>
    </cfRule>
  </conditionalFormatting>
  <conditionalFormatting sqref="B127">
    <cfRule type="expression" dxfId="263" priority="194" stopIfTrue="1">
      <formula>IF($B$61="",TRUE)</formula>
    </cfRule>
  </conditionalFormatting>
  <conditionalFormatting sqref="B128">
    <cfRule type="expression" dxfId="262" priority="193" stopIfTrue="1">
      <formula>IF($B$62="",TRUE)</formula>
    </cfRule>
  </conditionalFormatting>
  <conditionalFormatting sqref="B129">
    <cfRule type="expression" dxfId="261" priority="192" stopIfTrue="1">
      <formula>IF($B$63="",TRUE)</formula>
    </cfRule>
  </conditionalFormatting>
  <conditionalFormatting sqref="D12">
    <cfRule type="expression" dxfId="260" priority="315">
      <formula>IF($D$12="",TRUE)</formula>
    </cfRule>
  </conditionalFormatting>
  <conditionalFormatting sqref="D26:E26">
    <cfRule type="expression" dxfId="259" priority="332" stopIfTrue="1">
      <formula>IF($D$26="",TRUE)</formula>
    </cfRule>
  </conditionalFormatting>
  <conditionalFormatting sqref="D30:E30">
    <cfRule type="expression" dxfId="258" priority="326" stopIfTrue="1">
      <formula>IF($D$30="",TRUE)</formula>
    </cfRule>
    <cfRule type="expression" dxfId="257" priority="305" stopIfTrue="1">
      <formula>IF($B$30="",TRUE)</formula>
    </cfRule>
  </conditionalFormatting>
  <conditionalFormatting sqref="D31:E31">
    <cfRule type="expression" dxfId="256" priority="327" stopIfTrue="1">
      <formula>IF($D$31="",TRUE)</formula>
    </cfRule>
    <cfRule type="expression" dxfId="255" priority="304" stopIfTrue="1">
      <formula>IF($B$31="",TRUE)</formula>
    </cfRule>
  </conditionalFormatting>
  <conditionalFormatting sqref="D32:E32">
    <cfRule type="expression" dxfId="254" priority="317" stopIfTrue="1">
      <formula>IF($D$32="",TRUE)</formula>
    </cfRule>
    <cfRule type="expression" dxfId="253" priority="303" stopIfTrue="1">
      <formula>IF($B$32="",TRUE)</formula>
    </cfRule>
  </conditionalFormatting>
  <conditionalFormatting sqref="D33:E33">
    <cfRule type="expression" dxfId="252" priority="301" stopIfTrue="1">
      <formula>IF($B$33="",TRUE)</formula>
    </cfRule>
    <cfRule type="expression" dxfId="251" priority="302" stopIfTrue="1">
      <formula>IF($D$33="",TRUE)</formula>
    </cfRule>
  </conditionalFormatting>
  <conditionalFormatting sqref="D34:E34">
    <cfRule type="expression" dxfId="250" priority="299" stopIfTrue="1">
      <formula>IF($B$34="",TRUE)</formula>
    </cfRule>
    <cfRule type="expression" dxfId="249" priority="300" stopIfTrue="1">
      <formula>IF($D$34="",TRUE)</formula>
    </cfRule>
  </conditionalFormatting>
  <conditionalFormatting sqref="D35:E35">
    <cfRule type="expression" dxfId="248" priority="297" stopIfTrue="1">
      <formula>IF($B$35="",TRUE)</formula>
    </cfRule>
    <cfRule type="expression" dxfId="247" priority="298" stopIfTrue="1">
      <formula>IF($D$35="",TRUE)</formula>
    </cfRule>
  </conditionalFormatting>
  <conditionalFormatting sqref="D36:E36">
    <cfRule type="expression" dxfId="246" priority="295" stopIfTrue="1">
      <formula>IF($B$36="",TRUE)</formula>
    </cfRule>
    <cfRule type="expression" dxfId="245" priority="296" stopIfTrue="1">
      <formula>IF($D$36="",TRUE)</formula>
    </cfRule>
  </conditionalFormatting>
  <conditionalFormatting sqref="D37:E37">
    <cfRule type="expression" dxfId="244" priority="294" stopIfTrue="1">
      <formula>IF($D$37="",TRUE)</formula>
    </cfRule>
    <cfRule type="expression" dxfId="243" priority="293" stopIfTrue="1">
      <formula>IF($B$37="",TRUE)</formula>
    </cfRule>
  </conditionalFormatting>
  <conditionalFormatting sqref="D38:E38">
    <cfRule type="expression" dxfId="242" priority="291" stopIfTrue="1">
      <formula>IF($B$38="",TRUE)</formula>
    </cfRule>
    <cfRule type="expression" dxfId="241" priority="292" stopIfTrue="1">
      <formula>IF($D$38="",TRUE)</formula>
    </cfRule>
  </conditionalFormatting>
  <conditionalFormatting sqref="D39:E39">
    <cfRule type="expression" dxfId="240" priority="289" stopIfTrue="1">
      <formula>IF($B$39="",TRUE)</formula>
    </cfRule>
    <cfRule type="expression" dxfId="239" priority="290" stopIfTrue="1">
      <formula>IF($D$39="",TRUE)</formula>
    </cfRule>
  </conditionalFormatting>
  <conditionalFormatting sqref="D42:E42">
    <cfRule type="expression" dxfId="238" priority="278" stopIfTrue="1">
      <formula>IF($B$42="",TRUE)</formula>
    </cfRule>
    <cfRule type="expression" dxfId="237" priority="320" stopIfTrue="1">
      <formula>IF(AND(OR($D$30="Yes",$D$30=""),$D$42=""),1,0)</formula>
    </cfRule>
    <cfRule type="expression" dxfId="236" priority="321" stopIfTrue="1">
      <formula>IF($P$30="",TRUE)</formula>
    </cfRule>
  </conditionalFormatting>
  <conditionalFormatting sqref="D43:E43">
    <cfRule type="expression" dxfId="235" priority="275" stopIfTrue="1">
      <formula>IF($B$43="",TRUE)</formula>
    </cfRule>
    <cfRule type="expression" dxfId="234" priority="276" stopIfTrue="1">
      <formula>IF(AND(OR($D$31="Yes",$D$31=""),$D$43=""),1,0)</formula>
    </cfRule>
    <cfRule type="expression" dxfId="233" priority="277" stopIfTrue="1">
      <formula>IF($P$31="",TRUE)</formula>
    </cfRule>
  </conditionalFormatting>
  <conditionalFormatting sqref="D44:E44">
    <cfRule type="expression" dxfId="232" priority="273" stopIfTrue="1">
      <formula>IF(AND(OR($D$32="Yes",$D$32=""),$D$44=""),1,0)</formula>
    </cfRule>
    <cfRule type="expression" dxfId="231" priority="272" stopIfTrue="1">
      <formula>IF($B$44="",TRUE)</formula>
    </cfRule>
    <cfRule type="expression" dxfId="230" priority="274" stopIfTrue="1">
      <formula>IF($P$32="",TRUE)</formula>
    </cfRule>
  </conditionalFormatting>
  <conditionalFormatting sqref="D45:E45">
    <cfRule type="expression" dxfId="229" priority="221" stopIfTrue="1">
      <formula>IF($P$33="",TRUE)</formula>
    </cfRule>
    <cfRule type="expression" dxfId="228" priority="220" stopIfTrue="1">
      <formula>IF(AND(OR($D$33="Yes",$D$33=""),$D$45=""),1,0)</formula>
    </cfRule>
    <cfRule type="expression" dxfId="227" priority="219" stopIfTrue="1">
      <formula>IF($B$45="",TRUE)</formula>
    </cfRule>
  </conditionalFormatting>
  <conditionalFormatting sqref="D46:E46">
    <cfRule type="expression" dxfId="226" priority="218" stopIfTrue="1">
      <formula>IF($P$34="",TRUE)</formula>
    </cfRule>
    <cfRule type="expression" dxfId="225" priority="217" stopIfTrue="1">
      <formula>IF(AND(OR($D$34="Yes",$D$34=""),$D$46=""),1,0)</formula>
    </cfRule>
    <cfRule type="expression" dxfId="224" priority="216" stopIfTrue="1">
      <formula>IF($B$46="",TRUE)</formula>
    </cfRule>
  </conditionalFormatting>
  <conditionalFormatting sqref="D47:E47">
    <cfRule type="expression" dxfId="223" priority="214" stopIfTrue="1">
      <formula>IF(AND(OR($D$35="Yes",$D$35=""),$D$47=""),1,0)</formula>
    </cfRule>
    <cfRule type="expression" dxfId="222" priority="215" stopIfTrue="1">
      <formula>IF($P$35="",TRUE)</formula>
    </cfRule>
    <cfRule type="expression" dxfId="221" priority="213" stopIfTrue="1">
      <formula>IF($B$47="",TRUE)</formula>
    </cfRule>
  </conditionalFormatting>
  <conditionalFormatting sqref="D48:E48">
    <cfRule type="expression" dxfId="220" priority="211" stopIfTrue="1">
      <formula>IF(AND(OR($D$36="Yes",$D$36=""),$D$48=""),1,0)</formula>
    </cfRule>
    <cfRule type="expression" dxfId="219" priority="212" stopIfTrue="1">
      <formula>IF($P$36="",TRUE)</formula>
    </cfRule>
    <cfRule type="expression" dxfId="218" priority="210" stopIfTrue="1">
      <formula>IF($B$48="",TRUE)</formula>
    </cfRule>
  </conditionalFormatting>
  <conditionalFormatting sqref="D49:E49">
    <cfRule type="expression" dxfId="217" priority="207" stopIfTrue="1">
      <formula>IF($B$49="",TRUE)</formula>
    </cfRule>
    <cfRule type="expression" dxfId="216" priority="208" stopIfTrue="1">
      <formula>IF(AND(OR($D$37="Yes",$D$37=""),$D$49=""),1,0)</formula>
    </cfRule>
    <cfRule type="expression" dxfId="215" priority="209" stopIfTrue="1">
      <formula>IF($P$37="",TRUE)</formula>
    </cfRule>
  </conditionalFormatting>
  <conditionalFormatting sqref="D50:E50">
    <cfRule type="expression" dxfId="214" priority="205" stopIfTrue="1">
      <formula>IF(AND(OR($D$38="Yes",$D$38=""),$D$50=""),1,0)</formula>
    </cfRule>
    <cfRule type="expression" dxfId="213" priority="206" stopIfTrue="1">
      <formula>IF($P$38="",TRUE)</formula>
    </cfRule>
    <cfRule type="expression" dxfId="212" priority="204" stopIfTrue="1">
      <formula>IF($B$50="",TRUE)</formula>
    </cfRule>
  </conditionalFormatting>
  <conditionalFormatting sqref="D51:E51">
    <cfRule type="expression" dxfId="211" priority="203" stopIfTrue="1">
      <formula>IF($P$39="",TRUE)</formula>
    </cfRule>
    <cfRule type="expression" dxfId="210" priority="202" stopIfTrue="1">
      <formula>IF(AND(OR($D$39="Yes",$D$39=""),$D$51=""),1,0)</formula>
    </cfRule>
    <cfRule type="expression" dxfId="209" priority="201" stopIfTrue="1">
      <formula>IF($B$51="",TRUE)</formula>
    </cfRule>
  </conditionalFormatting>
  <conditionalFormatting sqref="D54:E54">
    <cfRule type="expression" dxfId="208" priority="131" stopIfTrue="1">
      <formula>IF($B$54="",TRUE)</formula>
    </cfRule>
    <cfRule type="expression" dxfId="207" priority="132" stopIfTrue="1">
      <formula>IF($P$54="",TRUE)</formula>
    </cfRule>
    <cfRule type="expression" dxfId="206" priority="133" stopIfTrue="1">
      <formula>IF(AND(OR($D$42="Yes",$D$42=""),$D$54=""),1,0)</formula>
    </cfRule>
  </conditionalFormatting>
  <conditionalFormatting sqref="D55:E55">
    <cfRule type="expression" dxfId="205" priority="190" stopIfTrue="1">
      <formula>IF(AND(OR($D$43="Yes",$D$43=""),$D$55=""),1,0)</formula>
    </cfRule>
    <cfRule type="expression" dxfId="204" priority="189" stopIfTrue="1">
      <formula>IF($P$55="",TRUE)</formula>
    </cfRule>
    <cfRule type="expression" dxfId="203" priority="188" stopIfTrue="1">
      <formula>IF($B$55="",TRUE)</formula>
    </cfRule>
  </conditionalFormatting>
  <conditionalFormatting sqref="D56:E56">
    <cfRule type="expression" dxfId="202" priority="186" stopIfTrue="1">
      <formula>IF($P$56="",TRUE)</formula>
    </cfRule>
    <cfRule type="expression" dxfId="201" priority="187" stopIfTrue="1">
      <formula>IF(AND(OR($D$44="Yes",$D$44=""),$D$56=""),1,0)</formula>
    </cfRule>
    <cfRule type="expression" dxfId="200" priority="134" stopIfTrue="1">
      <formula>IF($B$56="",TRUE)</formula>
    </cfRule>
  </conditionalFormatting>
  <conditionalFormatting sqref="D57:E57">
    <cfRule type="expression" dxfId="199" priority="184" stopIfTrue="1">
      <formula>IF($P$57="",TRUE)</formula>
    </cfRule>
    <cfRule type="expression" dxfId="198" priority="183" stopIfTrue="1">
      <formula>IF($B$57="",TRUE)</formula>
    </cfRule>
    <cfRule type="expression" dxfId="197" priority="185" stopIfTrue="1">
      <formula>IF(AND(OR($D$45="Yes",$D$45=""),$D$57=""),1,0)</formula>
    </cfRule>
  </conditionalFormatting>
  <conditionalFormatting sqref="D58:E58">
    <cfRule type="expression" dxfId="196" priority="180" stopIfTrue="1">
      <formula>IF($B$58="",TRUE)</formula>
    </cfRule>
    <cfRule type="expression" dxfId="195" priority="182" stopIfTrue="1">
      <formula>IF(AND(OR($D$46="Yes",$D$46=""),$D$58=""),1,0)</formula>
    </cfRule>
    <cfRule type="expression" dxfId="194" priority="181" stopIfTrue="1">
      <formula>IF($P$58="",TRUE)</formula>
    </cfRule>
  </conditionalFormatting>
  <conditionalFormatting sqref="D59:E59">
    <cfRule type="expression" dxfId="193" priority="177" stopIfTrue="1">
      <formula>IF($B$59="",TRUE)</formula>
    </cfRule>
    <cfRule type="expression" dxfId="192" priority="178" stopIfTrue="1">
      <formula>IF($P$59="",TRUE)</formula>
    </cfRule>
    <cfRule type="expression" dxfId="191" priority="179" stopIfTrue="1">
      <formula>IF(AND(OR($D$47="Yes",$D$47=""),$D$59=""),1,0)</formula>
    </cfRule>
  </conditionalFormatting>
  <conditionalFormatting sqref="D60:E60">
    <cfRule type="expression" dxfId="190" priority="174" stopIfTrue="1">
      <formula>IF($B$60="",TRUE)</formula>
    </cfRule>
    <cfRule type="expression" dxfId="189" priority="176" stopIfTrue="1">
      <formula>IF(AND(OR($D$48="Yes",$D$48=""),$D$60=""),1,0)</formula>
    </cfRule>
    <cfRule type="expression" dxfId="188" priority="175" stopIfTrue="1">
      <formula>IF($P$60="",TRUE)</formula>
    </cfRule>
  </conditionalFormatting>
  <conditionalFormatting sqref="D61:E61">
    <cfRule type="expression" dxfId="187" priority="172" stopIfTrue="1">
      <formula>IF($P$61="",TRUE)</formula>
    </cfRule>
    <cfRule type="expression" dxfId="186" priority="171" stopIfTrue="1">
      <formula>IF($B$61="",TRUE)</formula>
    </cfRule>
    <cfRule type="expression" dxfId="185" priority="173" stopIfTrue="1">
      <formula>IF(AND(OR($D$49="Yes",$D$49=""),$D$61=""),1,0)</formula>
    </cfRule>
  </conditionalFormatting>
  <conditionalFormatting sqref="D62:E62">
    <cfRule type="expression" dxfId="184" priority="168" stopIfTrue="1">
      <formula>IF($B$62="",TRUE)</formula>
    </cfRule>
    <cfRule type="expression" dxfId="183" priority="169" stopIfTrue="1">
      <formula>IF($P$62="",TRUE)</formula>
    </cfRule>
    <cfRule type="expression" dxfId="182" priority="170" stopIfTrue="1">
      <formula>IF(AND(OR($D$50="Yes",$D$50=""),$D$62=""),1,0)</formula>
    </cfRule>
  </conditionalFormatting>
  <conditionalFormatting sqref="D63:E63">
    <cfRule type="expression" dxfId="181" priority="165" stopIfTrue="1">
      <formula>IF($B$63="",TRUE)</formula>
    </cfRule>
    <cfRule type="expression" dxfId="180" priority="166" stopIfTrue="1">
      <formula>IF($P$63="",TRUE)</formula>
    </cfRule>
    <cfRule type="expression" dxfId="179" priority="167" stopIfTrue="1">
      <formula>IF(AND(OR($D$51="Yes",$D$51=""),$D$63=""),1,0)</formula>
    </cfRule>
  </conditionalFormatting>
  <conditionalFormatting sqref="D66:E66">
    <cfRule type="expression" dxfId="178" priority="101" stopIfTrue="1">
      <formula>IF($B$54="",TRUE)</formula>
    </cfRule>
    <cfRule type="expression" dxfId="177" priority="102" stopIfTrue="1">
      <formula>IF($P$54="",TRUE)</formula>
    </cfRule>
    <cfRule type="expression" dxfId="176" priority="103" stopIfTrue="1">
      <formula>IF(AND(OR($D$42="Yes",$D$42=""),$D$66=""),1,0)</formula>
    </cfRule>
  </conditionalFormatting>
  <conditionalFormatting sqref="D67:E67">
    <cfRule type="expression" dxfId="175" priority="130" stopIfTrue="1">
      <formula>IF(AND(OR($D$43="Yes",$D$43=""),$D$67=""),1,0)</formula>
    </cfRule>
    <cfRule type="expression" dxfId="174" priority="129" stopIfTrue="1">
      <formula>IF($P$55="",TRUE)</formula>
    </cfRule>
    <cfRule type="expression" dxfId="173" priority="128" stopIfTrue="1">
      <formula>IF($B$55="",TRUE)</formula>
    </cfRule>
  </conditionalFormatting>
  <conditionalFormatting sqref="D68:E68">
    <cfRule type="expression" dxfId="172" priority="104" stopIfTrue="1">
      <formula>IF($B$56="",TRUE)</formula>
    </cfRule>
    <cfRule type="expression" dxfId="171" priority="127" stopIfTrue="1">
      <formula>IF(AND(OR($D$44="Yes",$D$44=""),$D$68=""),1,0)</formula>
    </cfRule>
    <cfRule type="expression" dxfId="170" priority="126" stopIfTrue="1">
      <formula>IF($P$56="",TRUE)</formula>
    </cfRule>
  </conditionalFormatting>
  <conditionalFormatting sqref="D69:E69">
    <cfRule type="expression" dxfId="169" priority="123" stopIfTrue="1">
      <formula>IF($B$57="",TRUE)</formula>
    </cfRule>
    <cfRule type="expression" dxfId="168" priority="124" stopIfTrue="1">
      <formula>IF($P$57="",TRUE)</formula>
    </cfRule>
    <cfRule type="expression" dxfId="167" priority="125" stopIfTrue="1">
      <formula>IF(AND(OR($D$45="Yes",$D$45=""),$D$69=""),1,0)</formula>
    </cfRule>
  </conditionalFormatting>
  <conditionalFormatting sqref="D70:E70">
    <cfRule type="expression" dxfId="166" priority="122" stopIfTrue="1">
      <formula>IF(AND(OR($D$46="Yes",$D$46=""),$D$70=""),1,0)</formula>
    </cfRule>
    <cfRule type="expression" dxfId="165" priority="120" stopIfTrue="1">
      <formula>IF($B$58="",TRUE)</formula>
    </cfRule>
    <cfRule type="expression" dxfId="164" priority="121" stopIfTrue="1">
      <formula>IF($P$58="",TRUE)</formula>
    </cfRule>
  </conditionalFormatting>
  <conditionalFormatting sqref="D71:E71">
    <cfRule type="expression" dxfId="163" priority="118" stopIfTrue="1">
      <formula>IF($P$59="",TRUE)</formula>
    </cfRule>
    <cfRule type="expression" dxfId="162" priority="119" stopIfTrue="1">
      <formula>IF(AND(OR($D$47="Yes",$D$47=""),$D$71=""),1,0)</formula>
    </cfRule>
    <cfRule type="expression" dxfId="161" priority="117" stopIfTrue="1">
      <formula>IF($B$59="",TRUE)</formula>
    </cfRule>
  </conditionalFormatting>
  <conditionalFormatting sqref="D72:E72">
    <cfRule type="expression" dxfId="160" priority="114" stopIfTrue="1">
      <formula>IF($B$60="",TRUE)</formula>
    </cfRule>
    <cfRule type="expression" dxfId="159" priority="116" stopIfTrue="1">
      <formula>IF(AND(OR($D$48="Yes",$D$48=""),$D$72=""),1,0)</formula>
    </cfRule>
    <cfRule type="expression" dxfId="158" priority="115" stopIfTrue="1">
      <formula>IF($P$60="",TRUE)</formula>
    </cfRule>
  </conditionalFormatting>
  <conditionalFormatting sqref="D73:E73">
    <cfRule type="expression" dxfId="157" priority="113" stopIfTrue="1">
      <formula>IF(AND(OR($D$49="Yes",$D$49=""),$D$73=""),1,0)</formula>
    </cfRule>
    <cfRule type="expression" dxfId="156" priority="111" stopIfTrue="1">
      <formula>IF($B$61="",TRUE)</formula>
    </cfRule>
    <cfRule type="expression" dxfId="155" priority="112" stopIfTrue="1">
      <formula>IF($P$61="",TRUE)</formula>
    </cfRule>
  </conditionalFormatting>
  <conditionalFormatting sqref="D74:E74">
    <cfRule type="expression" dxfId="154" priority="108" stopIfTrue="1">
      <formula>IF($B$62="",TRUE)</formula>
    </cfRule>
    <cfRule type="expression" dxfId="153" priority="109" stopIfTrue="1">
      <formula>IF($P$62="",TRUE)</formula>
    </cfRule>
    <cfRule type="expression" dxfId="152" priority="110" stopIfTrue="1">
      <formula>IF(AND(OR($D$50="Yes",$D$50=""),$D$74=""),1,0)</formula>
    </cfRule>
  </conditionalFormatting>
  <conditionalFormatting sqref="D75:E75">
    <cfRule type="expression" dxfId="151" priority="107" stopIfTrue="1">
      <formula>IF(AND(OR($D$51="Yes",$D$51=""),$D$75=""),1,0)</formula>
    </cfRule>
    <cfRule type="expression" dxfId="150" priority="106" stopIfTrue="1">
      <formula>IF($P$63="",TRUE)</formula>
    </cfRule>
    <cfRule type="expression" dxfId="149" priority="105" stopIfTrue="1">
      <formula>IF($B$63="",TRUE)</formula>
    </cfRule>
  </conditionalFormatting>
  <conditionalFormatting sqref="D78:E78">
    <cfRule type="expression" dxfId="148" priority="71" stopIfTrue="1">
      <formula>IF($B$54="",TRUE)</formula>
    </cfRule>
    <cfRule type="expression" dxfId="147" priority="72" stopIfTrue="1">
      <formula>IF($P$54="",TRUE)</formula>
    </cfRule>
    <cfRule type="expression" dxfId="146" priority="73" stopIfTrue="1">
      <formula>IF(AND(OR($D$42="Yes",$D$42=""),$D$78=""),1,0)</formula>
    </cfRule>
  </conditionalFormatting>
  <conditionalFormatting sqref="D79:E79">
    <cfRule type="expression" dxfId="145" priority="100" stopIfTrue="1">
      <formula>IF(AND(OR($D$43="Yes",$D$43=""),$D$79=""),1,0)</formula>
    </cfRule>
    <cfRule type="expression" dxfId="144" priority="99" stopIfTrue="1">
      <formula>IF($P$55="",TRUE)</formula>
    </cfRule>
    <cfRule type="expression" dxfId="143" priority="98" stopIfTrue="1">
      <formula>IF($B$55="",TRUE)</formula>
    </cfRule>
  </conditionalFormatting>
  <conditionalFormatting sqref="D80:E80">
    <cfRule type="expression" dxfId="142" priority="96" stopIfTrue="1">
      <formula>IF($P$56="",TRUE)</formula>
    </cfRule>
    <cfRule type="expression" dxfId="141" priority="74" stopIfTrue="1">
      <formula>IF($B$56="",TRUE)</formula>
    </cfRule>
    <cfRule type="expression" dxfId="140" priority="97" stopIfTrue="1">
      <formula>IF(AND(OR($D$44="Yes",$D$44=""),$D$80=""),1,0)</formula>
    </cfRule>
  </conditionalFormatting>
  <conditionalFormatting sqref="D81:E81">
    <cfRule type="expression" dxfId="139" priority="95" stopIfTrue="1">
      <formula>IF(AND(OR($D$45="Yes",$D$45=""),$D$81=""),1,0)</formula>
    </cfRule>
    <cfRule type="expression" dxfId="138" priority="94" stopIfTrue="1">
      <formula>IF($P$57="",TRUE)</formula>
    </cfRule>
    <cfRule type="expression" dxfId="137" priority="93" stopIfTrue="1">
      <formula>IF($B$57="",TRUE)</formula>
    </cfRule>
  </conditionalFormatting>
  <conditionalFormatting sqref="D82:E82">
    <cfRule type="expression" dxfId="136" priority="92" stopIfTrue="1">
      <formula>IF(AND(OR($D$46="Yes",$D$46=""),$D$82=""),1,0)</formula>
    </cfRule>
    <cfRule type="expression" dxfId="135" priority="90" stopIfTrue="1">
      <formula>IF($B$58="",TRUE)</formula>
    </cfRule>
    <cfRule type="expression" dxfId="134" priority="91" stopIfTrue="1">
      <formula>IF($P$58="",TRUE)</formula>
    </cfRule>
  </conditionalFormatting>
  <conditionalFormatting sqref="D83:E83">
    <cfRule type="expression" dxfId="133" priority="89" stopIfTrue="1">
      <formula>IF(AND(OR($D$47="Yes",$D$47=""),$D$83=""),1,0)</formula>
    </cfRule>
    <cfRule type="expression" dxfId="132" priority="88" stopIfTrue="1">
      <formula>IF($P$59="",TRUE)</formula>
    </cfRule>
    <cfRule type="expression" dxfId="131" priority="87" stopIfTrue="1">
      <formula>IF($B$59="",TRUE)</formula>
    </cfRule>
  </conditionalFormatting>
  <conditionalFormatting sqref="D84:E84">
    <cfRule type="expression" dxfId="130" priority="86" stopIfTrue="1">
      <formula>IF(AND(OR($D$48="Yes",$D$48=""),$D$84=""),1,0)</formula>
    </cfRule>
    <cfRule type="expression" dxfId="129" priority="85" stopIfTrue="1">
      <formula>IF($P$60="",TRUE)</formula>
    </cfRule>
    <cfRule type="expression" dxfId="128" priority="84" stopIfTrue="1">
      <formula>IF($B$60="",TRUE)</formula>
    </cfRule>
  </conditionalFormatting>
  <conditionalFormatting sqref="D85:E85">
    <cfRule type="expression" dxfId="127" priority="83" stopIfTrue="1">
      <formula>IF(AND(OR($D$49="Yes",$D$49=""),$D$85=""),1,0)</formula>
    </cfRule>
    <cfRule type="expression" dxfId="126" priority="82" stopIfTrue="1">
      <formula>IF($P$61="",TRUE)</formula>
    </cfRule>
    <cfRule type="expression" dxfId="125" priority="81" stopIfTrue="1">
      <formula>IF($B$61="",TRUE)</formula>
    </cfRule>
  </conditionalFormatting>
  <conditionalFormatting sqref="D86:E86">
    <cfRule type="expression" dxfId="124" priority="80" stopIfTrue="1">
      <formula>IF(AND(OR($D$50="Yes",$D$50=""),$D$86=""),1,0)</formula>
    </cfRule>
    <cfRule type="expression" dxfId="123" priority="79" stopIfTrue="1">
      <formula>IF($P$62="",TRUE)</formula>
    </cfRule>
    <cfRule type="expression" dxfId="122" priority="78" stopIfTrue="1">
      <formula>IF($B$62="",TRUE)</formula>
    </cfRule>
  </conditionalFormatting>
  <conditionalFormatting sqref="D87:E87">
    <cfRule type="expression" dxfId="121" priority="77" stopIfTrue="1">
      <formula>IF(AND(OR($D$51="Yes",$D$51=""),$D$87=""),1,0)</formula>
    </cfRule>
    <cfRule type="expression" dxfId="120" priority="76" stopIfTrue="1">
      <formula>IF($P$63="",TRUE)</formula>
    </cfRule>
    <cfRule type="expression" dxfId="119" priority="75" stopIfTrue="1">
      <formula>IF($B$63="",TRUE)</formula>
    </cfRule>
  </conditionalFormatting>
  <conditionalFormatting sqref="D90:E90">
    <cfRule type="expression" dxfId="118" priority="41" stopIfTrue="1">
      <formula>IF($B$54="",TRUE)</formula>
    </cfRule>
    <cfRule type="expression" dxfId="117" priority="43" stopIfTrue="1">
      <formula>IF(AND(OR($D$42="Yes",$D$42=""),$D$90=""),1,0)</formula>
    </cfRule>
    <cfRule type="expression" dxfId="116" priority="42" stopIfTrue="1">
      <formula>IF($P$54="",TRUE)</formula>
    </cfRule>
  </conditionalFormatting>
  <conditionalFormatting sqref="D91:E91">
    <cfRule type="expression" dxfId="115" priority="70" stopIfTrue="1">
      <formula>IF(AND(OR($D$43="Yes",$D$43=""),$D$91=""),1,0)</formula>
    </cfRule>
    <cfRule type="expression" dxfId="114" priority="69" stopIfTrue="1">
      <formula>IF($P$55="",TRUE)</formula>
    </cfRule>
    <cfRule type="expression" dxfId="113" priority="68" stopIfTrue="1">
      <formula>IF($B$55="",TRUE)</formula>
    </cfRule>
  </conditionalFormatting>
  <conditionalFormatting sqref="D92:E92">
    <cfRule type="expression" dxfId="112" priority="44" stopIfTrue="1">
      <formula>IF($B$56="",TRUE)</formula>
    </cfRule>
    <cfRule type="expression" dxfId="111" priority="67" stopIfTrue="1">
      <formula>IF(AND(OR($D$44="Yes",$D$44=""),$D$92=""),1,0)</formula>
    </cfRule>
    <cfRule type="expression" dxfId="110" priority="66" stopIfTrue="1">
      <formula>IF($P$56="",TRUE)</formula>
    </cfRule>
  </conditionalFormatting>
  <conditionalFormatting sqref="D93:E93">
    <cfRule type="expression" dxfId="109" priority="65" stopIfTrue="1">
      <formula>IF(AND(OR($D$45="Yes",$D$45=""),$D$93=""),1,0)</formula>
    </cfRule>
    <cfRule type="expression" dxfId="108" priority="64" stopIfTrue="1">
      <formula>IF($P$57="",TRUE)</formula>
    </cfRule>
    <cfRule type="expression" dxfId="107" priority="63" stopIfTrue="1">
      <formula>IF($B$57="",TRUE)</formula>
    </cfRule>
  </conditionalFormatting>
  <conditionalFormatting sqref="D94:E94">
    <cfRule type="expression" dxfId="106" priority="60" stopIfTrue="1">
      <formula>IF($B$58="",TRUE)</formula>
    </cfRule>
    <cfRule type="expression" dxfId="105" priority="62" stopIfTrue="1">
      <formula>IF(AND(OR($D$46="Yes",$D$46=""),$D$94=""),1,0)</formula>
    </cfRule>
    <cfRule type="expression" dxfId="104" priority="61" stopIfTrue="1">
      <formula>IF($P$58="",TRUE)</formula>
    </cfRule>
  </conditionalFormatting>
  <conditionalFormatting sqref="D95:E95">
    <cfRule type="expression" dxfId="103" priority="59" stopIfTrue="1">
      <formula>IF(AND(OR($D$47="Yes",$D$47=""),$D$95=""),1,0)</formula>
    </cfRule>
    <cfRule type="expression" dxfId="102" priority="58" stopIfTrue="1">
      <formula>IF($P$59="",TRUE)</formula>
    </cfRule>
    <cfRule type="expression" dxfId="101" priority="57" stopIfTrue="1">
      <formula>IF($B$59="",TRUE)</formula>
    </cfRule>
  </conditionalFormatting>
  <conditionalFormatting sqref="D96:E96">
    <cfRule type="expression" dxfId="100" priority="55" stopIfTrue="1">
      <formula>IF($P$60="",TRUE)</formula>
    </cfRule>
    <cfRule type="expression" dxfId="99" priority="54" stopIfTrue="1">
      <formula>IF($B$60="",TRUE)</formula>
    </cfRule>
    <cfRule type="expression" dxfId="98" priority="56" stopIfTrue="1">
      <formula>IF(AND(OR($D$48="Yes",$D$48=""),$D$96=""),1,0)</formula>
    </cfRule>
  </conditionalFormatting>
  <conditionalFormatting sqref="D97:E97">
    <cfRule type="expression" dxfId="97" priority="51" stopIfTrue="1">
      <formula>IF($B$61="",TRUE)</formula>
    </cfRule>
    <cfRule type="expression" dxfId="96" priority="53" stopIfTrue="1">
      <formula>IF(AND(OR($D$49="Yes",$D$49=""),$D$97=""),1,0)</formula>
    </cfRule>
    <cfRule type="expression" dxfId="95" priority="52" stopIfTrue="1">
      <formula>IF($P$61="",TRUE)</formula>
    </cfRule>
  </conditionalFormatting>
  <conditionalFormatting sqref="D98:E98">
    <cfRule type="expression" dxfId="94" priority="50" stopIfTrue="1">
      <formula>IF(AND(OR($D$50="Yes",$D$50=""),$D$98=""),1,0)</formula>
    </cfRule>
    <cfRule type="expression" dxfId="93" priority="49" stopIfTrue="1">
      <formula>IF($P$62="",TRUE)</formula>
    </cfRule>
    <cfRule type="expression" dxfId="92" priority="48" stopIfTrue="1">
      <formula>IF($B$62="",TRUE)</formula>
    </cfRule>
  </conditionalFormatting>
  <conditionalFormatting sqref="D99:E99">
    <cfRule type="expression" dxfId="91" priority="47" stopIfTrue="1">
      <formula>IF(AND(OR($D$51="Yes",$D$51=""),$D$99=""),1,0)</formula>
    </cfRule>
    <cfRule type="expression" dxfId="90" priority="46" stopIfTrue="1">
      <formula>IF($P$63="",TRUE)</formula>
    </cfRule>
    <cfRule type="expression" dxfId="89" priority="45" stopIfTrue="1">
      <formula>IF($B$63="",TRUE)</formula>
    </cfRule>
  </conditionalFormatting>
  <conditionalFormatting sqref="D102:E102">
    <cfRule type="expression" dxfId="88" priority="13" stopIfTrue="1">
      <formula>IF(AND(OR($D$42="Yes",$D$42=""),$D$102=""),1,0)</formula>
    </cfRule>
    <cfRule type="expression" dxfId="87" priority="11" stopIfTrue="1">
      <formula>IF($B$54="",TRUE)</formula>
    </cfRule>
    <cfRule type="expression" dxfId="86" priority="12" stopIfTrue="1">
      <formula>IF($P$54="",TRUE)</formula>
    </cfRule>
  </conditionalFormatting>
  <conditionalFormatting sqref="D103:E103">
    <cfRule type="expression" dxfId="85" priority="40" stopIfTrue="1">
      <formula>IF(AND(OR($D$43="Yes",$D$43=""),$D$103=""),1,0)</formula>
    </cfRule>
    <cfRule type="expression" dxfId="84" priority="38" stopIfTrue="1">
      <formula>IF($B$55="",TRUE)</formula>
    </cfRule>
    <cfRule type="expression" dxfId="83" priority="39" stopIfTrue="1">
      <formula>IF($P$55="",TRUE)</formula>
    </cfRule>
  </conditionalFormatting>
  <conditionalFormatting sqref="D104:E104">
    <cfRule type="expression" dxfId="82" priority="14" stopIfTrue="1">
      <formula>IF($B$56="",TRUE)</formula>
    </cfRule>
    <cfRule type="expression" dxfId="81" priority="36" stopIfTrue="1">
      <formula>IF($P$56="",TRUE)</formula>
    </cfRule>
    <cfRule type="expression" dxfId="80" priority="37" stopIfTrue="1">
      <formula>IF(AND(OR($D$44="Yes",$D$44=""),$D$104=""),1,0)</formula>
    </cfRule>
  </conditionalFormatting>
  <conditionalFormatting sqref="D105:E105">
    <cfRule type="expression" dxfId="79" priority="34" stopIfTrue="1">
      <formula>IF($P$57="",TRUE)</formula>
    </cfRule>
    <cfRule type="expression" dxfId="78" priority="33" stopIfTrue="1">
      <formula>IF($B$57="",TRUE)</formula>
    </cfRule>
    <cfRule type="expression" dxfId="77" priority="35" stopIfTrue="1">
      <formula>IF(AND(OR($D$45="Yes",$D$45=""),$D$105=""),1,0)</formula>
    </cfRule>
  </conditionalFormatting>
  <conditionalFormatting sqref="D106:E106">
    <cfRule type="expression" dxfId="76" priority="30" stopIfTrue="1">
      <formula>IF($B$58="",TRUE)</formula>
    </cfRule>
    <cfRule type="expression" dxfId="75" priority="32" stopIfTrue="1">
      <formula>IF(AND(OR($D$46="Yes",$D$46=""),$D$106=""),1,0)</formula>
    </cfRule>
    <cfRule type="expression" dxfId="74" priority="31" stopIfTrue="1">
      <formula>IF($P$58="",TRUE)</formula>
    </cfRule>
  </conditionalFormatting>
  <conditionalFormatting sqref="D107:E107">
    <cfRule type="expression" dxfId="73" priority="29" stopIfTrue="1">
      <formula>IF(AND(OR($D$47="Yes",$D$47=""),$D$107=""),1,0)</formula>
    </cfRule>
    <cfRule type="expression" dxfId="72" priority="27" stopIfTrue="1">
      <formula>IF($B$59="",TRUE)</formula>
    </cfRule>
    <cfRule type="expression" dxfId="71" priority="28" stopIfTrue="1">
      <formula>IF($P$59="",TRUE)</formula>
    </cfRule>
  </conditionalFormatting>
  <conditionalFormatting sqref="D108:E108">
    <cfRule type="expression" dxfId="70" priority="24" stopIfTrue="1">
      <formula>IF($B$60="",TRUE)</formula>
    </cfRule>
    <cfRule type="expression" dxfId="69" priority="25" stopIfTrue="1">
      <formula>IF($P$60="",TRUE)</formula>
    </cfRule>
    <cfRule type="expression" dxfId="68" priority="26" stopIfTrue="1">
      <formula>IF(AND(OR($D$48="Yes",$D$48=""),$D$108=""),1,0)</formula>
    </cfRule>
  </conditionalFormatting>
  <conditionalFormatting sqref="D109:E109">
    <cfRule type="expression" dxfId="67" priority="21" stopIfTrue="1">
      <formula>IF($B$61="",TRUE)</formula>
    </cfRule>
    <cfRule type="expression" dxfId="66" priority="22" stopIfTrue="1">
      <formula>IF($P$61="",TRUE)</formula>
    </cfRule>
    <cfRule type="expression" dxfId="65" priority="23" stopIfTrue="1">
      <formula>IF(AND(OR($D$49="Yes",$D$49=""),$D$109=""),1,0)</formula>
    </cfRule>
  </conditionalFormatting>
  <conditionalFormatting sqref="D110:E110">
    <cfRule type="expression" dxfId="64" priority="19" stopIfTrue="1">
      <formula>IF($P$62="",TRUE)</formula>
    </cfRule>
    <cfRule type="expression" dxfId="63" priority="18" stopIfTrue="1">
      <formula>IF($B$62="",TRUE)</formula>
    </cfRule>
    <cfRule type="expression" dxfId="62" priority="20" stopIfTrue="1">
      <formula>IF(AND(OR($D$50="Yes",$D$50=""),$D$110=""),1,0)</formula>
    </cfRule>
  </conditionalFormatting>
  <conditionalFormatting sqref="D111:E111">
    <cfRule type="expression" dxfId="61" priority="17" stopIfTrue="1">
      <formula>IF(AND(OR($D$51="Yes",$D$51=""),$D$111=""),1,0)</formula>
    </cfRule>
    <cfRule type="expression" dxfId="60" priority="16" stopIfTrue="1">
      <formula>IF($P$63="",TRUE)</formula>
    </cfRule>
    <cfRule type="expression" dxfId="59" priority="15" stopIfTrue="1">
      <formula>IF($B$63="",TRUE)</formula>
    </cfRule>
  </conditionalFormatting>
  <conditionalFormatting sqref="D115:E115 D117:E117 D131:E131 D133:E133 D135:E135 D137:E137">
    <cfRule type="expression" dxfId="58" priority="319" stopIfTrue="1">
      <formula>IF(D115="",TRUE)</formula>
    </cfRule>
    <cfRule type="expression" dxfId="57" priority="318" stopIfTrue="1">
      <formula>AND(OR($D$30="No",$D$30="Unknown",$D$30="Not applicable for this declaration"),OR($D$31="No",$D$31="Unknown",$D$31="Not applicable for this declaration"))</formula>
    </cfRule>
  </conditionalFormatting>
  <conditionalFormatting sqref="D120:E120">
    <cfRule type="expression" dxfId="56" priority="162" stopIfTrue="1">
      <formula>IF($B$54="",TRUE)</formula>
    </cfRule>
    <cfRule type="expression" dxfId="55" priority="163" stopIfTrue="1">
      <formula>IF($P$54="",TRUE)</formula>
    </cfRule>
    <cfRule type="expression" dxfId="54" priority="164" stopIfTrue="1">
      <formula>IF(AND(OR($D$42="Yes",$D$42=""),$D$120=""),1,0)</formula>
    </cfRule>
  </conditionalFormatting>
  <conditionalFormatting sqref="D121:E121">
    <cfRule type="expression" dxfId="53" priority="159" stopIfTrue="1">
      <formula>IF($B$55="",TRUE)</formula>
    </cfRule>
    <cfRule type="expression" dxfId="52" priority="160" stopIfTrue="1">
      <formula>IF($P$55="",TRUE)</formula>
    </cfRule>
    <cfRule type="expression" dxfId="51" priority="161" stopIfTrue="1">
      <formula>IF(AND(OR($D$43="Yes",$D$43=""),$D$121=""),1,0)</formula>
    </cfRule>
  </conditionalFormatting>
  <conditionalFormatting sqref="D122:E122">
    <cfRule type="expression" dxfId="50" priority="158" stopIfTrue="1">
      <formula>IF(AND(OR($D$44="Yes",$D$44=""),$D$122=""),1,0)</formula>
    </cfRule>
    <cfRule type="expression" dxfId="49" priority="156" stopIfTrue="1">
      <formula>IF($B$56="",TRUE)</formula>
    </cfRule>
    <cfRule type="expression" dxfId="48" priority="157" stopIfTrue="1">
      <formula>IF($P$56="",TRUE)</formula>
    </cfRule>
  </conditionalFormatting>
  <conditionalFormatting sqref="D123:E123">
    <cfRule type="expression" dxfId="47" priority="155" stopIfTrue="1">
      <formula>IF(AND(OR($D$45="Yes",$D$45=""),$D$123=""),1,0)</formula>
    </cfRule>
    <cfRule type="expression" dxfId="46" priority="154" stopIfTrue="1">
      <formula>IF($P$57="",TRUE)</formula>
    </cfRule>
    <cfRule type="expression" dxfId="45" priority="153" stopIfTrue="1">
      <formula>IF($B$57="",TRUE)</formula>
    </cfRule>
  </conditionalFormatting>
  <conditionalFormatting sqref="D124:E124">
    <cfRule type="expression" dxfId="44" priority="150" stopIfTrue="1">
      <formula>IF($B$58="",TRUE)</formula>
    </cfRule>
    <cfRule type="expression" dxfId="43" priority="152" stopIfTrue="1">
      <formula>IF(AND(OR($D$46="Yes",$D$46=""),$D$124=""),1,0)</formula>
    </cfRule>
    <cfRule type="expression" dxfId="42" priority="151" stopIfTrue="1">
      <formula>IF($P$58="",TRUE)</formula>
    </cfRule>
  </conditionalFormatting>
  <conditionalFormatting sqref="D125:E125">
    <cfRule type="expression" dxfId="41" priority="147" stopIfTrue="1">
      <formula>IF($B$59="",TRUE)</formula>
    </cfRule>
    <cfRule type="expression" dxfId="40" priority="148" stopIfTrue="1">
      <formula>IF($P$59="",TRUE)</formula>
    </cfRule>
    <cfRule type="expression" dxfId="39" priority="149" stopIfTrue="1">
      <formula>IF(AND(OR($D$47="Yes",$D$47=""),$D$125=""),1,0)</formula>
    </cfRule>
  </conditionalFormatting>
  <conditionalFormatting sqref="D126:E126">
    <cfRule type="expression" dxfId="38" priority="146" stopIfTrue="1">
      <formula>IF(AND(OR($D$48="Yes",$D$48=""),$D$126=""),1,0)</formula>
    </cfRule>
    <cfRule type="expression" dxfId="37" priority="144" stopIfTrue="1">
      <formula>IF($B$60="",TRUE)</formula>
    </cfRule>
    <cfRule type="expression" dxfId="36" priority="145" stopIfTrue="1">
      <formula>IF($P$60="",TRUE)</formula>
    </cfRule>
  </conditionalFormatting>
  <conditionalFormatting sqref="D127:E127">
    <cfRule type="expression" dxfId="35" priority="142" stopIfTrue="1">
      <formula>IF($P$61="",TRUE)</formula>
    </cfRule>
    <cfRule type="expression" dxfId="34" priority="141" stopIfTrue="1">
      <formula>IF($B$61="",TRUE)</formula>
    </cfRule>
    <cfRule type="expression" dxfId="33" priority="143" stopIfTrue="1">
      <formula>IF(AND(OR($D$49="Yes",$D$49=""),$D$127=""),1,0)</formula>
    </cfRule>
  </conditionalFormatting>
  <conditionalFormatting sqref="D128:E128">
    <cfRule type="expression" dxfId="32" priority="140" stopIfTrue="1">
      <formula>IF(AND(OR($D$50="Yes",$D$50=""),$D$128=""),1,0)</formula>
    </cfRule>
    <cfRule type="expression" dxfId="31" priority="138" stopIfTrue="1">
      <formula>IF($B$62="",TRUE)</formula>
    </cfRule>
    <cfRule type="expression" dxfId="30" priority="139" stopIfTrue="1">
      <formula>IF($P$62="",TRUE)</formula>
    </cfRule>
  </conditionalFormatting>
  <conditionalFormatting sqref="D129:E129">
    <cfRule type="expression" dxfId="29" priority="137" stopIfTrue="1">
      <formula>IF(AND(OR($D$51="Yes",$D$51=""),$D$129=""),1,0)</formula>
    </cfRule>
    <cfRule type="expression" dxfId="28" priority="136" stopIfTrue="1">
      <formula>IF($P$63="",TRUE)</formula>
    </cfRule>
    <cfRule type="expression" dxfId="27" priority="135" stopIfTrue="1">
      <formula>IF($B$63="",TRUE)</formula>
    </cfRule>
  </conditionalFormatting>
  <conditionalFormatting sqref="D9:G9">
    <cfRule type="expression" dxfId="26" priority="471" stopIfTrue="1">
      <formula>IF($D$9="",TRUE)</formula>
    </cfRule>
  </conditionalFormatting>
  <conditionalFormatting sqref="G133:J133">
    <cfRule type="expression" dxfId="25" priority="325" stopIfTrue="1">
      <formula>IF(AND($D$133="Yes, using other format (describe)",$G$133=""),TRUE)</formula>
    </cfRule>
  </conditionalFormatting>
  <conditionalFormatting sqref="G135:J135">
    <cfRule type="expression" dxfId="24" priority="322">
      <formula>IF(AND($D$135="Yes, using other format (describe)",$G$135=""),TRUE)</formula>
    </cfRule>
  </conditionalFormatting>
  <conditionalFormatting sqref="D8:J8">
    <cfRule type="expression" dxfId="23" priority="10" stopIfTrue="1">
      <formula>IF($D$8="",TRUE)</formula>
    </cfRule>
  </conditionalFormatting>
  <conditionalFormatting sqref="D10:J10">
    <cfRule type="expression" dxfId="22" priority="8" stopIfTrue="1">
      <formula>IF($D$9=$Q$9,TRUE)</formula>
    </cfRule>
    <cfRule type="expression" dxfId="21" priority="9" stopIfTrue="1">
      <formula>IF(AND($D$10="",$D$9=$R$9),TRUE)</formula>
    </cfRule>
  </conditionalFormatting>
  <conditionalFormatting sqref="D19:J19">
    <cfRule type="expression" dxfId="20" priority="5" stopIfTrue="1">
      <formula>IF($D$15="",TRUE)</formula>
    </cfRule>
  </conditionalFormatting>
  <conditionalFormatting sqref="D20:J20">
    <cfRule type="expression" dxfId="19" priority="6" stopIfTrue="1">
      <formula>IF($D$16="",TRUE)</formula>
    </cfRule>
  </conditionalFormatting>
  <conditionalFormatting sqref="D21:J21">
    <cfRule type="expression" dxfId="18" priority="4" stopIfTrue="1">
      <formula>IF($D$17="",TRUE)</formula>
    </cfRule>
  </conditionalFormatting>
  <conditionalFormatting sqref="D22:J22">
    <cfRule type="expression" dxfId="17" priority="3" stopIfTrue="1">
      <formula>IF($D$18="",TRUE)</formula>
    </cfRule>
  </conditionalFormatting>
  <conditionalFormatting sqref="D24:J24">
    <cfRule type="expression" dxfId="16" priority="2" stopIfTrue="1">
      <formula>IF($D$20="",TRUE)</formula>
    </cfRule>
  </conditionalFormatting>
  <conditionalFormatting sqref="G117:J117">
    <cfRule type="expression" dxfId="15" priority="1">
      <formula>IF(AND($D$71="Yes",$G$71=""),TRUE)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 ref="G115" r:id="rId4"/>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14" activePane="bottomLeft" state="frozen"/>
      <selection activeCell="B24" sqref="B24:J24"/>
      <selection pane="bottomLeft" activeCell="C22" sqref="C22"/>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71" t="str">
        <f ca="1">OFFSET(L!$C$1,MATCH("Smelter List"&amp;ADDRESS(ROW(),COLUMN(),4),L!$A:$A,0)-1,SL,,)</f>
        <v>Link zur "RMAP Conformant Smelter"- Liste</v>
      </c>
      <c r="K2" s="472"/>
      <c r="L2" s="472"/>
      <c r="M2" s="472"/>
      <c r="N2" s="472"/>
      <c r="O2" s="472"/>
      <c r="P2" s="162"/>
      <c r="Q2" s="163"/>
      <c r="R2" s="164"/>
      <c r="S2" s="164"/>
      <c r="T2" s="164"/>
      <c r="AB2" s="312"/>
      <c r="AH2" s="130" t="s">
        <v>25</v>
      </c>
    </row>
    <row r="3" spans="1:34" s="16" customFormat="1" ht="249.6" customHeight="1">
      <c r="A3" s="202"/>
      <c r="B3" s="473"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73"/>
      <c r="D3" s="473"/>
      <c r="E3" s="473"/>
      <c r="F3" s="165"/>
      <c r="G3" s="474" t="str">
        <f ca="1">OFFSET(L!$C$1,MATCH("General"&amp;"Cpy",L!$A:$A,0)-1,SL,,)</f>
        <v>© 2025 Responsible Minerals Initiative. All rights reserved.</v>
      </c>
      <c r="H3" s="475"/>
      <c r="I3" s="476"/>
      <c r="J3" s="116"/>
      <c r="K3" s="117"/>
      <c r="M3" s="166"/>
      <c r="N3" s="166"/>
      <c r="O3" s="90"/>
      <c r="P3" s="90"/>
      <c r="Q3" s="191" t="s">
        <v>19343</v>
      </c>
      <c r="R3" s="128"/>
      <c r="S3" s="128"/>
      <c r="T3" s="128"/>
      <c r="W3" s="139"/>
      <c r="X3" s="139"/>
      <c r="Y3" s="139"/>
      <c r="Z3" s="139"/>
      <c r="AB3" s="312"/>
      <c r="AH3" s="130" t="s">
        <v>22</v>
      </c>
    </row>
    <row r="4" spans="1:34" s="140" customFormat="1" ht="78.75">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20.25" customHeight="1">
      <c r="A5" s="198" t="s">
        <v>246</v>
      </c>
      <c r="B5" s="304" t="str">
        <f ca="1">IF(LEN(A5)=0,"",INDEX('Smelter Look-up'!$A:$A,MATCH($A5,'Smelter Look-up'!$E:$E,0)))</f>
        <v>Cobalt</v>
      </c>
      <c r="C5" s="152" t="str">
        <f ca="1">IF(LEN(A5)=0,"",INDEX('Smelter Look-up'!$C:$C,MATCH($A5,'Smelter Look-up'!$E:$E,0)))</f>
        <v>NORILSK NICKEL HARJAVALTA OY</v>
      </c>
      <c r="D5" s="149"/>
      <c r="E5" s="149" t="str">
        <f ca="1">IF(ISERROR($V5),"",OFFSET('Smelter Look-up'!$D$4,$V5-4,0)&amp;"")</f>
        <v>FINLAND</v>
      </c>
      <c r="F5" s="149" t="str">
        <f ca="1">IF(ISERROR($V5),"",OFFSET('Smelter Look-up'!$E$4,$V5-4,0))</f>
        <v>CID003390</v>
      </c>
      <c r="G5" s="149" t="str">
        <f ca="1">IF(C5=$X$4,"Enter smelter details",IF(ISERROR($V5),"",OFFSET('Smelter Look-up'!$F$4,$V5-4,0)))</f>
        <v>RMI</v>
      </c>
      <c r="H5" s="206">
        <f ca="1">IF(ISERROR($V5),"",OFFSET('Smelter Look-up'!$G$4,$V5-4,0))</f>
        <v>0</v>
      </c>
      <c r="I5" s="207" t="str">
        <f ca="1">IF(ISERROR($V5),"",OFFSET('Smelter Look-up'!$H$4,$V5-4,0))</f>
        <v>Harvjavalta</v>
      </c>
      <c r="J5" s="207" t="str">
        <f ca="1">IF(ISERROR($V5),"",OFFSET('Smelter Look-up'!$I$4,$V5-4,0))</f>
        <v>Satakunta</v>
      </c>
      <c r="K5" s="150"/>
      <c r="L5" s="150"/>
      <c r="M5" s="150"/>
      <c r="N5" s="150"/>
      <c r="O5" s="150"/>
      <c r="P5" s="209"/>
      <c r="Q5" s="151"/>
      <c r="R5" s="149" t="str">
        <f ca="1">IF(ISERROR($V5),"",OFFSET('Smelter Look-up'!$C$4,$V5-4,0)&amp;"")</f>
        <v>NORILSK NICKEL HARJAVALTA OY</v>
      </c>
      <c r="S5" s="155" t="str">
        <f t="shared" ref="S5:S12" ca="1" si="0">IF(B5="","",IF(ISERROR(MATCH($E5,CL,0)),"Unknown",INDIRECT("'C'!$A$"&amp;MATCH($E5,CL,0)+1)))</f>
        <v>FI</v>
      </c>
      <c r="T5" s="155" t="str">
        <f ca="1">IF(B5="","",IF(ISERROR(MATCH($J5,SorP!$B$1:$B$6226,0)),"",INDIRECT("'SorP'!$A$"&amp;MATCH($S5&amp;$J5,SorP!C:C,0))))</f>
        <v>FI-17</v>
      </c>
      <c r="U5" s="168"/>
      <c r="V5" s="169">
        <f ca="1">IF(C5="",NA(),MATCH($B5&amp;$C5,'Smelter Look-up'!$J:$J,0))</f>
        <v>124</v>
      </c>
      <c r="X5" s="170">
        <f t="shared" ref="X5:X12" ca="1" si="1">IF(AND(C5="Smelter not listed",OR(LEN(D5)=0,LEN(E5)=0)),1,0)</f>
        <v>0</v>
      </c>
      <c r="AB5" s="314" t="str">
        <f t="shared" ref="AB5:AB12" ca="1" si="2">IF(C5="","",B5)</f>
        <v>Cobalt</v>
      </c>
    </row>
    <row r="6" spans="1:34" s="170" customFormat="1" ht="20.25" customHeight="1">
      <c r="A6" s="198" t="s">
        <v>72</v>
      </c>
      <c r="B6" s="304" t="str">
        <f ca="1">IF(LEN(A6)=0,"",INDEX('Smelter Look-up'!$A:$A,MATCH($A6,'Smelter Look-up'!$E:$E,0)))</f>
        <v>Cobalt</v>
      </c>
      <c r="C6" s="152" t="str">
        <f ca="1">IF(LEN(A6)=0,"",INDEX('Smelter Look-up'!$C:$C,MATCH($A6,'Smelter Look-up'!$E:$E,0)))</f>
        <v>Compagnie de Tifnout Tiranimine</v>
      </c>
      <c r="D6" s="149"/>
      <c r="E6" s="149" t="str">
        <f ca="1">IF(ISERROR($V6),"",OFFSET('Smelter Look-up'!$D$4,$V6-4,0)&amp;"")</f>
        <v>MOROCCO</v>
      </c>
      <c r="F6" s="149" t="str">
        <f ca="1">IF(ISERROR($V6),"",OFFSET('Smelter Look-up'!$E$4,$V6-4,0))</f>
        <v>CID003280</v>
      </c>
      <c r="G6" s="149" t="str">
        <f ca="1">IF(C6=$X$4,"Enter smelter details",IF(ISERROR($V6),"",OFFSET('Smelter Look-up'!$F$4,$V6-4,0)))</f>
        <v>RMI</v>
      </c>
      <c r="H6" s="206">
        <f ca="1">IF(ISERROR($V6),"",OFFSET('Smelter Look-up'!$G$4,$V6-4,0))</f>
        <v>0</v>
      </c>
      <c r="I6" s="207" t="str">
        <f ca="1">IF(ISERROR($V6),"",OFFSET('Smelter Look-up'!$H$4,$V6-4,0))</f>
        <v>Marrakech</v>
      </c>
      <c r="J6" s="207" t="str">
        <f ca="1">IF(ISERROR($V6),"",OFFSET('Smelter Look-up'!$I$4,$V6-4,0))</f>
        <v>Marrakech-Safi</v>
      </c>
      <c r="K6" s="150"/>
      <c r="L6" s="150"/>
      <c r="M6" s="150"/>
      <c r="N6" s="150"/>
      <c r="O6" s="150"/>
      <c r="P6" s="209"/>
      <c r="Q6" s="151"/>
      <c r="R6" s="149" t="str">
        <f ca="1">IF(ISERROR($V6),"",OFFSET('Smelter Look-up'!$C$4,$V6-4,0)&amp;"")</f>
        <v>Compagnie de Tifnout Tiranimine</v>
      </c>
      <c r="S6" s="155" t="str">
        <f t="shared" ca="1" si="0"/>
        <v>MA</v>
      </c>
      <c r="T6" s="155" t="str">
        <f ca="1">IF(B6="","",IF(ISERROR(MATCH($J6,SorP!$B$1:$B$6226,0)),"",INDIRECT("'SorP'!$A$"&amp;MATCH($S6&amp;$J6,SorP!C:C,0))))</f>
        <v>MA-07</v>
      </c>
      <c r="U6" s="168"/>
      <c r="V6" s="169">
        <f ca="1">IF(C6="",NA(),MATCH($B6&amp;$C6,'Smelter Look-up'!$J:$J,0))</f>
        <v>12</v>
      </c>
      <c r="X6" s="170">
        <f t="shared" ca="1" si="1"/>
        <v>0</v>
      </c>
      <c r="AB6" s="314" t="str">
        <f t="shared" ca="1" si="2"/>
        <v>Cobalt</v>
      </c>
    </row>
    <row r="7" spans="1:34" s="170" customFormat="1" ht="20.25" customHeight="1">
      <c r="A7" s="198" t="s">
        <v>258</v>
      </c>
      <c r="B7" s="304" t="str">
        <f ca="1">IF(LEN(A7)=0,"",INDEX('Smelter Look-up'!$A:$A,MATCH($A7,'Smelter Look-up'!$E:$E,0)))</f>
        <v>Cobalt</v>
      </c>
      <c r="C7" s="152" t="str">
        <f ca="1">IF(LEN(A7)=0,"",INDEX('Smelter Look-up'!$C:$C,MATCH($A7,'Smelter Look-up'!$E:$E,0)))</f>
        <v>Quzhou Huayou Cobalt New Material Co., Ltd.</v>
      </c>
      <c r="D7" s="149"/>
      <c r="E7" s="149" t="str">
        <f ca="1">IF(ISERROR($V7),"",OFFSET('Smelter Look-up'!$D$4,$V7-4,0)&amp;"")</f>
        <v>CHINA</v>
      </c>
      <c r="F7" s="149" t="str">
        <f ca="1">IF(ISERROR($V7),"",OFFSET('Smelter Look-up'!$E$4,$V7-4,0))</f>
        <v>CID003255</v>
      </c>
      <c r="G7" s="149" t="str">
        <f ca="1">IF(C7=$X$4,"Enter smelter details",IF(ISERROR($V7),"",OFFSET('Smelter Look-up'!$F$4,$V7-4,0)))</f>
        <v>RMI</v>
      </c>
      <c r="H7" s="206">
        <f ca="1">IF(ISERROR($V7),"",OFFSET('Smelter Look-up'!$G$4,$V7-4,0))</f>
        <v>0</v>
      </c>
      <c r="I7" s="207" t="str">
        <f ca="1">IF(ISERROR($V7),"",OFFSET('Smelter Look-up'!$H$4,$V7-4,0))</f>
        <v>Quzhou</v>
      </c>
      <c r="J7" s="207" t="str">
        <f ca="1">IF(ISERROR($V7),"",OFFSET('Smelter Look-up'!$I$4,$V7-4,0))</f>
        <v>Zhejiang Sheng</v>
      </c>
      <c r="K7" s="150"/>
      <c r="L7" s="150"/>
      <c r="M7" s="150"/>
      <c r="N7" s="150"/>
      <c r="O7" s="150"/>
      <c r="P7" s="209"/>
      <c r="Q7" s="151"/>
      <c r="R7" s="149" t="str">
        <f ca="1">IF(ISERROR($V7),"",OFFSET('Smelter Look-up'!$C$4,$V7-4,0)&amp;"")</f>
        <v>Quzhou Huayou Cobalt New Material Co., Ltd.</v>
      </c>
      <c r="S7" s="155" t="str">
        <f t="shared" ca="1" si="0"/>
        <v>CN</v>
      </c>
      <c r="T7" s="155" t="str">
        <f ca="1">IF(B7="","",IF(ISERROR(MATCH($J7,SorP!$B$1:$B$6226,0)),"",INDIRECT("'SorP'!$A$"&amp;MATCH($S7&amp;$J7,SorP!C:C,0))))</f>
        <v>CN-ZJ</v>
      </c>
      <c r="U7" s="168"/>
      <c r="V7" s="169">
        <f ca="1">IF(C7="",NA(),MATCH($B7&amp;$C7,'Smelter Look-up'!$J:$J,0))</f>
        <v>133</v>
      </c>
      <c r="X7" s="170">
        <f t="shared" ca="1" si="1"/>
        <v>0</v>
      </c>
      <c r="AB7" s="314" t="str">
        <f t="shared" ca="1" si="2"/>
        <v>Cobalt</v>
      </c>
    </row>
    <row r="8" spans="1:34" s="170" customFormat="1" ht="20.25" customHeight="1">
      <c r="A8" s="198" t="s">
        <v>239</v>
      </c>
      <c r="B8" s="304" t="str">
        <f ca="1">IF(LEN(A8)=0,"",INDEX('Smelter Look-up'!$A:$A,MATCH($A8,'Smelter Look-up'!$E:$E,0)))</f>
        <v>Cobalt</v>
      </c>
      <c r="C8" s="152" t="str">
        <f ca="1">IF(LEN(A8)=0,"",INDEX('Smelter Look-up'!$C:$C,MATCH($A8,'Smelter Look-up'!$E:$E,0)))</f>
        <v>Niihama Nickel Refinery, Sumitomo Metal Mining</v>
      </c>
      <c r="D8" s="149"/>
      <c r="E8" s="149" t="str">
        <f ca="1">IF(ISERROR($V8),"",OFFSET('Smelter Look-up'!$D$4,$V8-4,0)&amp;"")</f>
        <v>JAPAN</v>
      </c>
      <c r="F8" s="149" t="str">
        <f ca="1">IF(ISERROR($V8),"",OFFSET('Smelter Look-up'!$E$4,$V8-4,0))</f>
        <v>CID003278</v>
      </c>
      <c r="G8" s="149" t="str">
        <f ca="1">IF(C8=$X$4,"Enter smelter details",IF(ISERROR($V8),"",OFFSET('Smelter Look-up'!$F$4,$V8-4,0)))</f>
        <v>RMI</v>
      </c>
      <c r="H8" s="206">
        <f ca="1">IF(ISERROR($V8),"",OFFSET('Smelter Look-up'!$G$4,$V8-4,0))</f>
        <v>0</v>
      </c>
      <c r="I8" s="207" t="str">
        <f ca="1">IF(ISERROR($V8),"",OFFSET('Smelter Look-up'!$H$4,$V8-4,0))</f>
        <v>Niihama</v>
      </c>
      <c r="J8" s="207" t="str">
        <f ca="1">IF(ISERROR($V8),"",OFFSET('Smelter Look-up'!$I$4,$V8-4,0))</f>
        <v>Ehime</v>
      </c>
      <c r="K8" s="150"/>
      <c r="L8" s="150"/>
      <c r="M8" s="150"/>
      <c r="N8" s="150"/>
      <c r="O8" s="150"/>
      <c r="P8" s="209"/>
      <c r="Q8" s="151"/>
      <c r="R8" s="149" t="str">
        <f ca="1">IF(ISERROR($V8),"",OFFSET('Smelter Look-up'!$C$4,$V8-4,0)&amp;"")</f>
        <v>Niihama Nickel Refinery, Sumitomo Metal Mining</v>
      </c>
      <c r="S8" s="155" t="str">
        <f t="shared" ca="1" si="0"/>
        <v>JP</v>
      </c>
      <c r="T8" s="155" t="str">
        <f ca="1">IF(B8="","",IF(ISERROR(MATCH($J8,SorP!$B$1:$B$6226,0)),"",INDIRECT("'SorP'!$A$"&amp;MATCH($S8&amp;$J8,SorP!C:C,0))))</f>
        <v>JP-38</v>
      </c>
      <c r="U8" s="168"/>
      <c r="V8" s="169">
        <f ca="1">IF(C8="",NA(),MATCH($B8&amp;$C8,'Smelter Look-up'!$J:$J,0))</f>
        <v>122</v>
      </c>
      <c r="X8" s="170">
        <f t="shared" ca="1" si="1"/>
        <v>0</v>
      </c>
      <c r="AB8" s="314" t="str">
        <f t="shared" ca="1" si="2"/>
        <v>Cobalt</v>
      </c>
    </row>
    <row r="9" spans="1:34" s="170" customFormat="1" ht="20.25" customHeight="1">
      <c r="A9" s="198" t="s">
        <v>301</v>
      </c>
      <c r="B9" s="304" t="str">
        <f ca="1">IF(LEN(A9)=0,"",INDEX('Smelter Look-up'!$A:$A,MATCH($A9,'Smelter Look-up'!$E:$E,0)))</f>
        <v>Cobalt</v>
      </c>
      <c r="C9" s="152" t="str">
        <f ca="1">IF(LEN(A9)=0,"",INDEX('Smelter Look-up'!$C:$C,MATCH($A9,'Smelter Look-up'!$E:$E,0)))</f>
        <v>Zhejiang Huayou Cobalt Company Limited</v>
      </c>
      <c r="D9" s="149"/>
      <c r="E9" s="149" t="str">
        <f ca="1">IF(ISERROR($V9),"",OFFSET('Smelter Look-up'!$D$4,$V9-4,0)&amp;"")</f>
        <v>CHINA</v>
      </c>
      <c r="F9" s="149" t="str">
        <f ca="1">IF(ISERROR($V9),"",OFFSET('Smelter Look-up'!$E$4,$V9-4,0))</f>
        <v>CID003225</v>
      </c>
      <c r="G9" s="149" t="str">
        <f ca="1">IF(C9=$X$4,"Enter smelter details",IF(ISERROR($V9),"",OFFSET('Smelter Look-up'!$F$4,$V9-4,0)))</f>
        <v>RMI</v>
      </c>
      <c r="H9" s="206">
        <f ca="1">IF(ISERROR($V9),"",OFFSET('Smelter Look-up'!$G$4,$V9-4,0))</f>
        <v>0</v>
      </c>
      <c r="I9" s="207" t="str">
        <f ca="1">IF(ISERROR($V9),"",OFFSET('Smelter Look-up'!$H$4,$V9-4,0))</f>
        <v>Tongxiang</v>
      </c>
      <c r="J9" s="207" t="str">
        <f ca="1">IF(ISERROR($V9),"",OFFSET('Smelter Look-up'!$I$4,$V9-4,0))</f>
        <v>Zhejiang Sheng</v>
      </c>
      <c r="K9" s="150"/>
      <c r="L9" s="150"/>
      <c r="M9" s="150"/>
      <c r="N9" s="150"/>
      <c r="O9" s="150"/>
      <c r="P9" s="209"/>
      <c r="Q9" s="151"/>
      <c r="R9" s="149" t="str">
        <f ca="1">IF(ISERROR($V9),"",OFFSET('Smelter Look-up'!$C$4,$V9-4,0)&amp;"")</f>
        <v>Zhejiang Huayou Cobalt Company Limited</v>
      </c>
      <c r="S9" s="155" t="str">
        <f t="shared" ca="1" si="0"/>
        <v>CN</v>
      </c>
      <c r="T9" s="155" t="str">
        <f ca="1">IF(B9="","",IF(ISERROR(MATCH($J9,SorP!$B$1:$B$6226,0)),"",INDIRECT("'SorP'!$A$"&amp;MATCH($S9&amp;$J9,SorP!C:C,0))))</f>
        <v>CN-ZJ</v>
      </c>
      <c r="U9" s="168"/>
      <c r="V9" s="169">
        <f ca="1">IF(C9="",NA(),MATCH($B9&amp;$C9,'Smelter Look-up'!$J:$J,0))</f>
        <v>170</v>
      </c>
      <c r="X9" s="170">
        <f t="shared" ca="1" si="1"/>
        <v>0</v>
      </c>
      <c r="AB9" s="314" t="str">
        <f t="shared" ca="1" si="2"/>
        <v>Cobalt</v>
      </c>
    </row>
    <row r="10" spans="1:34" s="170" customFormat="1" ht="20.25" customHeight="1">
      <c r="A10" s="198" t="s">
        <v>278</v>
      </c>
      <c r="B10" s="304" t="str">
        <f ca="1">IF(LEN(A10)=0,"",INDEX('Smelter Look-up'!$A:$A,MATCH($A10,'Smelter Look-up'!$E:$E,0)))</f>
        <v>Cobalt</v>
      </c>
      <c r="C10" s="152" t="str">
        <f ca="1">IF(LEN(A10)=0,"",INDEX('Smelter Look-up'!$C:$C,MATCH($A10,'Smelter Look-up'!$E:$E,0)))</f>
        <v>Umicore Olen</v>
      </c>
      <c r="D10" s="149"/>
      <c r="E10" s="149" t="str">
        <f ca="1">IF(ISERROR($V10),"",OFFSET('Smelter Look-up'!$D$4,$V10-4,0)&amp;"")</f>
        <v>BELGIUM</v>
      </c>
      <c r="F10" s="149" t="str">
        <f ca="1">IF(ISERROR($V10),"",OFFSET('Smelter Look-up'!$E$4,$V10-4,0))</f>
        <v>CID003228</v>
      </c>
      <c r="G10" s="149" t="str">
        <f ca="1">IF(C10=$X$4,"Enter smelter details",IF(ISERROR($V10),"",OFFSET('Smelter Look-up'!$F$4,$V10-4,0)))</f>
        <v>RMI</v>
      </c>
      <c r="H10" s="206">
        <f ca="1">IF(ISERROR($V10),"",OFFSET('Smelter Look-up'!$G$4,$V10-4,0))</f>
        <v>0</v>
      </c>
      <c r="I10" s="207" t="str">
        <f ca="1">IF(ISERROR($V10),"",OFFSET('Smelter Look-up'!$H$4,$V10-4,0))</f>
        <v>Olen</v>
      </c>
      <c r="J10" s="207" t="str">
        <f ca="1">IF(ISERROR($V10),"",OFFSET('Smelter Look-up'!$I$4,$V10-4,0))</f>
        <v>Antwerpen</v>
      </c>
      <c r="K10" s="150"/>
      <c r="L10" s="150"/>
      <c r="M10" s="150"/>
      <c r="N10" s="150"/>
      <c r="O10" s="150"/>
      <c r="P10" s="209"/>
      <c r="Q10" s="151"/>
      <c r="R10" s="149" t="str">
        <f ca="1">IF(ISERROR($V10),"",OFFSET('Smelter Look-up'!$C$4,$V10-4,0)&amp;"")</f>
        <v>Umicore Olen</v>
      </c>
      <c r="S10" s="155" t="str">
        <f t="shared" ca="1" si="0"/>
        <v>BE</v>
      </c>
      <c r="T10" s="155" t="str">
        <f ca="1">IF(B10="","",IF(ISERROR(MATCH($J10,SorP!$B$1:$B$6226,0)),"",INDIRECT("'SorP'!$A$"&amp;MATCH($S10&amp;$J10,SorP!C:C,0))))</f>
        <v>BE-VAN</v>
      </c>
      <c r="U10" s="168"/>
      <c r="V10" s="169">
        <f ca="1">IF(C10="",NA(),MATCH($B10&amp;$C10,'Smelter Look-up'!$J:$J,0))</f>
        <v>153</v>
      </c>
      <c r="X10" s="170">
        <f t="shared" ca="1" si="1"/>
        <v>0</v>
      </c>
      <c r="AB10" s="314" t="str">
        <f t="shared" ca="1" si="2"/>
        <v>Cobalt</v>
      </c>
    </row>
    <row r="11" spans="1:34" s="170" customFormat="1" ht="20.25" customHeight="1">
      <c r="A11" s="199" t="s">
        <v>102</v>
      </c>
      <c r="B11" s="304" t="str">
        <f ca="1">IF(LEN(A11)=0,"",INDEX('Smelter Look-up'!$A:$A,MATCH($A11,'Smelter Look-up'!$E:$E,0)))</f>
        <v>Cobalt</v>
      </c>
      <c r="C11" s="152" t="str">
        <f ca="1">IF(LEN(A11)=0,"",INDEX('Smelter Look-up'!$C:$C,MATCH($A11,'Smelter Look-up'!$E:$E,0)))</f>
        <v>Umicore Finland Oy</v>
      </c>
      <c r="D11" s="149"/>
      <c r="E11" s="149" t="str">
        <f ca="1">IF(ISERROR($V11),"",OFFSET('Smelter Look-up'!$D$4,$V11-4,0)&amp;"")</f>
        <v>FINLAND</v>
      </c>
      <c r="F11" s="149" t="str">
        <f ca="1">IF(ISERROR($V11),"",OFFSET('Smelter Look-up'!$E$4,$V11-4,0))</f>
        <v>CID003226</v>
      </c>
      <c r="G11" s="149" t="str">
        <f ca="1">IF(C11=$X$4,"Enter smelter details",IF(ISERROR($V11),"",OFFSET('Smelter Look-up'!$F$4,$V11-4,0)))</f>
        <v>RMI</v>
      </c>
      <c r="H11" s="206">
        <f ca="1">IF(ISERROR($V11),"",OFFSET('Smelter Look-up'!$G$4,$V11-4,0))</f>
        <v>0</v>
      </c>
      <c r="I11" s="207" t="str">
        <f ca="1">IF(ISERROR($V11),"",OFFSET('Smelter Look-up'!$H$4,$V11-4,0))</f>
        <v>Kokkola</v>
      </c>
      <c r="J11" s="207" t="str">
        <f ca="1">IF(ISERROR($V11),"",OFFSET('Smelter Look-up'!$I$4,$V11-4,0))</f>
        <v>Mellersta Österbotten</v>
      </c>
      <c r="K11" s="150"/>
      <c r="L11" s="150"/>
      <c r="M11" s="150"/>
      <c r="N11" s="150"/>
      <c r="O11" s="150"/>
      <c r="P11" s="209"/>
      <c r="Q11" s="151"/>
      <c r="R11" s="149" t="str">
        <f ca="1">IF(ISERROR($V11),"",OFFSET('Smelter Look-up'!$C$4,$V11-4,0)&amp;"")</f>
        <v>Umicore Finland Oy</v>
      </c>
      <c r="S11" s="155" t="str">
        <f t="shared" ca="1" si="0"/>
        <v>FI</v>
      </c>
      <c r="T11" s="155" t="str">
        <f ca="1">IF(B11="","",IF(ISERROR(MATCH($J11,SorP!$B$1:$B$6226,0)),"",INDIRECT("'SorP'!$A$"&amp;MATCH($S11&amp;$J11,SorP!C:C,0))))</f>
        <v>FI-07</v>
      </c>
      <c r="U11" s="168"/>
      <c r="V11" s="169">
        <f ca="1">IF(C11="",NA(),MATCH($B11&amp;$C11,'Smelter Look-up'!$J:$J,0))</f>
        <v>152</v>
      </c>
      <c r="X11" s="170">
        <f t="shared" ca="1" si="1"/>
        <v>0</v>
      </c>
      <c r="AB11" s="314" t="str">
        <f t="shared" ca="1" si="2"/>
        <v>Cobalt</v>
      </c>
    </row>
    <row r="12" spans="1:34" s="170" customFormat="1" ht="20.25" customHeight="1">
      <c r="A12" s="198" t="s">
        <v>77</v>
      </c>
      <c r="B12" s="304" t="str">
        <f ca="1">IF(LEN(A12)=0,"",INDEX('Smelter Look-up'!$A:$A,MATCH($A12,'Smelter Look-up'!$E:$E,0)))</f>
        <v>Cobalt</v>
      </c>
      <c r="C12" s="152" t="str">
        <f ca="1">IF(LEN(A12)=0,"",INDEX('Smelter Look-up'!$C:$C,MATCH($A12,'Smelter Look-up'!$E:$E,0)))</f>
        <v>Uranus Chemicals</v>
      </c>
      <c r="D12" s="149"/>
      <c r="E12" s="149" t="str">
        <f ca="1">IF(ISERROR($V12),"",OFFSET('Smelter Look-up'!$D$4,$V12-4,0)&amp;"")</f>
        <v>TAIWAN, PROVINCE OF CHINA</v>
      </c>
      <c r="F12" s="149" t="str">
        <f ca="1">IF(ISERROR($V12),"",OFFSET('Smelter Look-up'!$E$4,$V12-4,0))</f>
        <v>CID003473</v>
      </c>
      <c r="G12" s="149" t="str">
        <f ca="1">IF(C12=$X$4,"Enter smelter details",IF(ISERROR($V12),"",OFFSET('Smelter Look-up'!$F$4,$V12-4,0)))</f>
        <v>RMI</v>
      </c>
      <c r="H12" s="206">
        <f ca="1">IF(ISERROR($V12),"",OFFSET('Smelter Look-up'!$G$4,$V12-4,0))</f>
        <v>0</v>
      </c>
      <c r="I12" s="207" t="str">
        <f ca="1">IF(ISERROR($V12),"",OFFSET('Smelter Look-up'!$H$4,$V12-4,0))</f>
        <v>Toufen</v>
      </c>
      <c r="J12" s="207" t="str">
        <f ca="1">IF(ISERROR($V12),"",OFFSET('Smelter Look-up'!$I$4,$V12-4,0))</f>
        <v>Miaoli</v>
      </c>
      <c r="K12" s="150"/>
      <c r="L12" s="150"/>
      <c r="M12" s="150"/>
      <c r="N12" s="150"/>
      <c r="O12" s="150"/>
      <c r="P12" s="209"/>
      <c r="Q12" s="151"/>
      <c r="R12" s="149" t="str">
        <f ca="1">IF(ISERROR($V12),"",OFFSET('Smelter Look-up'!$C$4,$V12-4,0)&amp;"")</f>
        <v>Uranus Chemicals</v>
      </c>
      <c r="S12" s="155" t="str">
        <f t="shared" ca="1" si="0"/>
        <v>TW</v>
      </c>
      <c r="T12" s="155" t="str">
        <f ca="1">IF(B12="","",IF(ISERROR(MATCH($J12,SorP!$B$1:$B$6226,0)),"",INDIRECT("'SorP'!$A$"&amp;MATCH($S12&amp;$J12,SorP!C:C,0))))</f>
        <v>TW-MIA</v>
      </c>
      <c r="U12" s="168"/>
      <c r="V12" s="169">
        <f ca="1">IF(C12="",NA(),MATCH($B12&amp;$C12,'Smelter Look-up'!$J:$J,0))</f>
        <v>154</v>
      </c>
      <c r="X12" s="170">
        <f t="shared" ca="1" si="1"/>
        <v>0</v>
      </c>
      <c r="AB12" s="314" t="str">
        <f t="shared" ca="1" si="2"/>
        <v>Cobalt</v>
      </c>
    </row>
    <row r="13" spans="1:34" s="170" customFormat="1" ht="20.25" customHeight="1">
      <c r="A13" s="198" t="s">
        <v>220</v>
      </c>
      <c r="B13" s="304" t="str">
        <f ca="1">IF(LEN(A13)=0,"",INDEX('Smelter Look-up'!$A:$A,MATCH($A13,'Smelter Look-up'!$E:$E,0)))</f>
        <v>Cobalt</v>
      </c>
      <c r="C13" s="152" t="str">
        <f ca="1">IF(LEN(A13)=0,"",INDEX('Smelter Look-up'!$C:$C,MATCH($A13,'Smelter Look-up'!$E:$E,0)))</f>
        <v>Murrin Murrin Nickel Cobalt Plant</v>
      </c>
      <c r="D13" s="149"/>
      <c r="E13" s="149" t="str">
        <f ca="1">IF(ISERROR($V13),"",OFFSET('Smelter Look-up'!$D$4,$V13-4,0)&amp;"")</f>
        <v>AUSTRALIA</v>
      </c>
      <c r="F13" s="149" t="str">
        <f ca="1">IF(ISERROR($V13),"",OFFSET('Smelter Look-up'!$E$4,$V13-4,0))</f>
        <v>CID003406</v>
      </c>
      <c r="G13" s="149" t="str">
        <f ca="1">IF(C13=$X$4,"Enter smelter details",IF(ISERROR($V13),"",OFFSET('Smelter Look-up'!$F$4,$V13-4,0)))</f>
        <v>RMI</v>
      </c>
      <c r="H13" s="206">
        <f ca="1">IF(ISERROR($V13),"",OFFSET('Smelter Look-up'!$G$4,$V13-4,0))</f>
        <v>0</v>
      </c>
      <c r="I13" s="207" t="str">
        <f ca="1">IF(ISERROR($V13),"",OFFSET('Smelter Look-up'!$H$4,$V13-4,0))</f>
        <v>Laverton</v>
      </c>
      <c r="J13" s="207" t="str">
        <f ca="1">IF(ISERROR($V13),"",OFFSET('Smelter Look-up'!$I$4,$V13-4,0))</f>
        <v>Western Australia</v>
      </c>
      <c r="K13" s="150"/>
      <c r="L13" s="150"/>
      <c r="M13" s="150"/>
      <c r="N13" s="150"/>
      <c r="O13" s="150"/>
      <c r="P13" s="209"/>
      <c r="Q13" s="151"/>
      <c r="R13" s="149" t="str">
        <f ca="1">IF(ISERROR($V13),"",OFFSET('Smelter Look-up'!$C$4,$V13-4,0)&amp;"")</f>
        <v>Murrin Murrin Nickel Cobalt Plant</v>
      </c>
      <c r="S13" s="155" t="str">
        <f t="shared" ref="S13:S63" ca="1" si="3">IF(B13="","",IF(ISERROR(MATCH($E13,CL,0)),"Unknown",INDIRECT("'C'!$A$"&amp;MATCH($E13,CL,0)+1)))</f>
        <v>AU</v>
      </c>
      <c r="T13" s="155" t="str">
        <f ca="1">IF(B13="","",IF(ISERROR(MATCH($J13,SorP!$B$1:$B$6226,0)),"",INDIRECT("'SorP'!$A$"&amp;MATCH($S13&amp;$J13,SorP!C:C,0))))</f>
        <v>AU-WA</v>
      </c>
      <c r="U13" s="168"/>
      <c r="V13" s="169">
        <f ca="1">IF(C13="",NA(),MATCH($B13&amp;$C13,'Smelter Look-up'!$J:$J,0))</f>
        <v>109</v>
      </c>
      <c r="X13" s="170">
        <f t="shared" ref="X13:X62" ca="1" si="4">IF(AND(C13="Smelter not listed",OR(LEN(D13)=0,LEN(E13)=0)),1,0)</f>
        <v>0</v>
      </c>
      <c r="AB13" s="314" t="str">
        <f t="shared" ref="AB13:AB69" ca="1" si="5">IF(C13="","",B13)</f>
        <v>Cobalt</v>
      </c>
    </row>
    <row r="14" spans="1:34" s="170" customFormat="1" ht="20.25" customHeight="1">
      <c r="A14" s="199" t="s">
        <v>110</v>
      </c>
      <c r="B14" s="304" t="str">
        <f ca="1">IF(LEN(A14)=0,"",INDEX('Smelter Look-up'!$A:$A,MATCH($A14,'Smelter Look-up'!$E:$E,0)))</f>
        <v>Cobalt</v>
      </c>
      <c r="C14" s="152" t="str">
        <f ca="1">IF(LEN(A14)=0,"",INDEX('Smelter Look-up'!$C:$C,MATCH($A14,'Smelter Look-up'!$E:$E,0)))</f>
        <v>Ganzhou Tengyuan Cobalt New Material Co., Ltd.</v>
      </c>
      <c r="D14" s="149"/>
      <c r="E14" s="149" t="str">
        <f ca="1">IF(ISERROR($V14),"",OFFSET('Smelter Look-up'!$D$4,$V14-4,0)&amp;"")</f>
        <v>CHINA</v>
      </c>
      <c r="F14" s="149" t="str">
        <f ca="1">IF(ISERROR($V14),"",OFFSET('Smelter Look-up'!$E$4,$V14-4,0))</f>
        <v>CID003212</v>
      </c>
      <c r="G14" s="149" t="str">
        <f ca="1">IF(C14=$X$4,"Enter smelter details",IF(ISERROR($V14),"",OFFSET('Smelter Look-up'!$F$4,$V14-4,0)))</f>
        <v>RMI</v>
      </c>
      <c r="H14" s="206">
        <f ca="1">IF(ISERROR($V14),"",OFFSET('Smelter Look-up'!$G$4,$V14-4,0))</f>
        <v>0</v>
      </c>
      <c r="I14" s="207" t="str">
        <f ca="1">IF(ISERROR($V14),"",OFFSET('Smelter Look-up'!$H$4,$V14-4,0))</f>
        <v>Ganzhou</v>
      </c>
      <c r="J14" s="207" t="str">
        <f ca="1">IF(ISERROR($V14),"",OFFSET('Smelter Look-up'!$I$4,$V14-4,0))</f>
        <v>Jiangxi Sheng</v>
      </c>
      <c r="K14" s="150"/>
      <c r="L14" s="150"/>
      <c r="M14" s="150"/>
      <c r="N14" s="150"/>
      <c r="O14" s="150"/>
      <c r="P14" s="209"/>
      <c r="Q14" s="151"/>
      <c r="R14" s="149" t="str">
        <f ca="1">IF(ISERROR($V14),"",OFFSET('Smelter Look-up'!$C$4,$V14-4,0)&amp;"")</f>
        <v>Ganzhou Tengyuan Cobalt New Material Co., Ltd.</v>
      </c>
      <c r="S14" s="155" t="str">
        <f t="shared" ca="1" si="3"/>
        <v>CN</v>
      </c>
      <c r="T14" s="155" t="str">
        <f ca="1">IF(B14="","",IF(ISERROR(MATCH($J14,SorP!$B$1:$B$6226,0)),"",INDIRECT("'SorP'!$A$"&amp;MATCH($S14&amp;$J14,SorP!C:C,0))))</f>
        <v>CN-JX</v>
      </c>
      <c r="U14" s="168"/>
      <c r="V14" s="169">
        <f ca="1">IF(C14="",NA(),MATCH($B14&amp;$C14,'Smelter Look-up'!$J:$J,0))</f>
        <v>35</v>
      </c>
      <c r="X14" s="170">
        <f t="shared" ca="1" si="4"/>
        <v>0</v>
      </c>
      <c r="AB14" s="314" t="str">
        <f t="shared" ca="1" si="5"/>
        <v>Cobalt</v>
      </c>
    </row>
    <row r="15" spans="1:34" s="170" customFormat="1" ht="20.25" customHeight="1">
      <c r="A15" s="199" t="s">
        <v>120</v>
      </c>
      <c r="B15" s="304" t="str">
        <f ca="1">IF(LEN(A15)=0,"",INDEX('Smelter Look-up'!$A:$A,MATCH($A15,'Smelter Look-up'!$E:$E,0)))</f>
        <v>Cobalt</v>
      </c>
      <c r="C15" s="152" t="str">
        <f ca="1">IF(LEN(A15)=0,"",INDEX('Smelter Look-up'!$C:$C,MATCH($A15,'Smelter Look-up'!$E:$E,0)))</f>
        <v>Guangdong Jiana Energy Technology Co., Ltd.</v>
      </c>
      <c r="D15" s="149"/>
      <c r="E15" s="149" t="str">
        <f ca="1">IF(ISERROR($V15),"",OFFSET('Smelter Look-up'!$D$4,$V15-4,0)&amp;"")</f>
        <v>CHINA</v>
      </c>
      <c r="F15" s="149" t="str">
        <f ca="1">IF(ISERROR($V15),"",OFFSET('Smelter Look-up'!$E$4,$V15-4,0))</f>
        <v>CID003291</v>
      </c>
      <c r="G15" s="149" t="str">
        <f ca="1">IF(C15=$X$4,"Enter smelter details",IF(ISERROR($V15),"",OFFSET('Smelter Look-up'!$F$4,$V15-4,0)))</f>
        <v>RMI</v>
      </c>
      <c r="H15" s="206">
        <f ca="1">IF(ISERROR($V15),"",OFFSET('Smelter Look-up'!$G$4,$V15-4,0))</f>
        <v>0</v>
      </c>
      <c r="I15" s="207" t="str">
        <f ca="1">IF(ISERROR($V15),"",OFFSET('Smelter Look-up'!$H$4,$V15-4,0))</f>
        <v>Guangzhou</v>
      </c>
      <c r="J15" s="207" t="str">
        <f ca="1">IF(ISERROR($V15),"",OFFSET('Smelter Look-up'!$I$4,$V15-4,0))</f>
        <v>Guangdong Sheng</v>
      </c>
      <c r="K15" s="150"/>
      <c r="L15" s="150"/>
      <c r="M15" s="150"/>
      <c r="N15" s="150"/>
      <c r="O15" s="150"/>
      <c r="P15" s="209"/>
      <c r="Q15" s="151"/>
      <c r="R15" s="149" t="str">
        <f ca="1">IF(ISERROR($V15),"",OFFSET('Smelter Look-up'!$C$4,$V15-4,0)&amp;"")</f>
        <v>Guangdong Jiana Energy Technology Co., Ltd.</v>
      </c>
      <c r="S15" s="155" t="str">
        <f t="shared" ca="1" si="3"/>
        <v>CN</v>
      </c>
      <c r="T15" s="155" t="str">
        <f ca="1">IF(B15="","",IF(ISERROR(MATCH($J15,SorP!$B$1:$B$6226,0)),"",INDIRECT("'SorP'!$A$"&amp;MATCH($S15&amp;$J15,SorP!C:C,0))))</f>
        <v>CN-GD</v>
      </c>
      <c r="U15" s="168"/>
      <c r="V15" s="169">
        <f ca="1">IF(C15="",NA(),MATCH($B15&amp;$C15,'Smelter Look-up'!$J:$J,0))</f>
        <v>40</v>
      </c>
      <c r="X15" s="170">
        <f t="shared" ca="1" si="4"/>
        <v>0</v>
      </c>
      <c r="AB15" s="314" t="str">
        <f t="shared" ca="1" si="5"/>
        <v>Cobalt</v>
      </c>
    </row>
    <row r="16" spans="1:34" s="170" customFormat="1" ht="20.25" customHeight="1">
      <c r="A16" s="198" t="s">
        <v>185</v>
      </c>
      <c r="B16" s="304" t="str">
        <f ca="1">IF(LEN(A16)=0,"",INDEX('Smelter Look-up'!$A:$A,MATCH($A16,'Smelter Look-up'!$E:$E,0)))</f>
        <v>Cobalt</v>
      </c>
      <c r="C16" s="152" t="str">
        <f ca="1">IF(LEN(A16)=0,"",INDEX('Smelter Look-up'!$C:$C,MATCH($A16,'Smelter Look-up'!$E:$E,0)))</f>
        <v>Lanzhou Jinchuan Advanced Materials Technology Co., Ltd.</v>
      </c>
      <c r="D16" s="149"/>
      <c r="E16" s="149" t="str">
        <f ca="1">IF(ISERROR($V16),"",OFFSET('Smelter Look-up'!$D$4,$V16-4,0)&amp;"")</f>
        <v>CHINA</v>
      </c>
      <c r="F16" s="149" t="str">
        <f ca="1">IF(ISERROR($V16),"",OFFSET('Smelter Look-up'!$E$4,$V16-4,0))</f>
        <v>CID003210</v>
      </c>
      <c r="G16" s="149" t="str">
        <f ca="1">IF(C16=$X$4,"Enter smelter details",IF(ISERROR($V16),"",OFFSET('Smelter Look-up'!$F$4,$V16-4,0)))</f>
        <v>RMI</v>
      </c>
      <c r="H16" s="206">
        <f ca="1">IF(ISERROR($V16),"",OFFSET('Smelter Look-up'!$G$4,$V16-4,0))</f>
        <v>0</v>
      </c>
      <c r="I16" s="207" t="str">
        <f ca="1">IF(ISERROR($V16),"",OFFSET('Smelter Look-up'!$H$4,$V16-4,0))</f>
        <v>Lanzhou</v>
      </c>
      <c r="J16" s="207" t="str">
        <f ca="1">IF(ISERROR($V16),"",OFFSET('Smelter Look-up'!$I$4,$V16-4,0))</f>
        <v>Gansu Sheng</v>
      </c>
      <c r="K16" s="150"/>
      <c r="L16" s="150"/>
      <c r="M16" s="150"/>
      <c r="N16" s="150"/>
      <c r="O16" s="150"/>
      <c r="P16" s="209"/>
      <c r="Q16" s="151"/>
      <c r="R16" s="149" t="str">
        <f ca="1">IF(ISERROR($V16),"",OFFSET('Smelter Look-up'!$C$4,$V16-4,0)&amp;"")</f>
        <v>Lanzhou Jinchuan Advanced Materials Technology Co., Ltd.</v>
      </c>
      <c r="S16" s="155" t="str">
        <f t="shared" ca="1" si="3"/>
        <v>CN</v>
      </c>
      <c r="T16" s="155" t="str">
        <f ca="1">IF(B16="","",IF(ISERROR(MATCH($J16,SorP!$B$1:$B$6226,0)),"",INDIRECT("'SorP'!$A$"&amp;MATCH($S16&amp;$J16,SorP!C:C,0))))</f>
        <v>CN-GS</v>
      </c>
      <c r="U16" s="168"/>
      <c r="V16" s="169">
        <f ca="1">IF(C16="",NA(),MATCH($B16&amp;$C16,'Smelter Look-up'!$J:$J,0))</f>
        <v>88</v>
      </c>
      <c r="X16" s="170">
        <f t="shared" ca="1" si="4"/>
        <v>0</v>
      </c>
      <c r="AB16" s="314" t="str">
        <f t="shared" ca="1" si="5"/>
        <v>Cobalt</v>
      </c>
    </row>
    <row r="17" spans="1:28" s="170" customFormat="1" ht="20.25" customHeight="1">
      <c r="A17" s="198" t="s">
        <v>108</v>
      </c>
      <c r="B17" s="304" t="str">
        <f ca="1">IF(LEN(A17)=0,"",INDEX('Smelter Look-up'!$A:$A,MATCH($A17,'Smelter Look-up'!$E:$E,0)))</f>
        <v>Cobalt</v>
      </c>
      <c r="C17" s="152" t="str">
        <f ca="1">IF(LEN(A17)=0,"",INDEX('Smelter Look-up'!$C:$C,MATCH($A17,'Smelter Look-up'!$E:$E,0)))</f>
        <v>Ganzhou Highpower Technology Co., Ltd.</v>
      </c>
      <c r="D17" s="149"/>
      <c r="E17" s="149" t="str">
        <f ca="1">IF(ISERROR($V17),"",OFFSET('Smelter Look-up'!$D$4,$V17-4,0)&amp;"")</f>
        <v>CHINA</v>
      </c>
      <c r="F17" s="149" t="str">
        <f ca="1">IF(ISERROR($V17),"",OFFSET('Smelter Look-up'!$E$4,$V17-4,0))</f>
        <v>CID003384</v>
      </c>
      <c r="G17" s="149" t="str">
        <f ca="1">IF(C17=$X$4,"Enter smelter details",IF(ISERROR($V17),"",OFFSET('Smelter Look-up'!$F$4,$V17-4,0)))</f>
        <v>RMI</v>
      </c>
      <c r="H17" s="206">
        <f ca="1">IF(ISERROR($V17),"",OFFSET('Smelter Look-up'!$G$4,$V17-4,0))</f>
        <v>0</v>
      </c>
      <c r="I17" s="207" t="str">
        <f ca="1">IF(ISERROR($V17),"",OFFSET('Smelter Look-up'!$H$4,$V17-4,0))</f>
        <v>Ganzhou</v>
      </c>
      <c r="J17" s="207" t="str">
        <f ca="1">IF(ISERROR($V17),"",OFFSET('Smelter Look-up'!$I$4,$V17-4,0))</f>
        <v>Jiangxi Sheng</v>
      </c>
      <c r="K17" s="150"/>
      <c r="L17" s="150"/>
      <c r="M17" s="150"/>
      <c r="N17" s="150"/>
      <c r="O17" s="150"/>
      <c r="P17" s="209"/>
      <c r="Q17" s="151"/>
      <c r="R17" s="149" t="str">
        <f ca="1">IF(ISERROR($V17),"",OFFSET('Smelter Look-up'!$C$4,$V17-4,0)&amp;"")</f>
        <v>Ganzhou Highpower Technology Co., Ltd.</v>
      </c>
      <c r="S17" s="155" t="str">
        <f t="shared" ca="1" si="3"/>
        <v>CN</v>
      </c>
      <c r="T17" s="155" t="str">
        <f ca="1">IF(B17="","",IF(ISERROR(MATCH($J17,SorP!$B$1:$B$6226,0)),"",INDIRECT("'SorP'!$A$"&amp;MATCH($S17&amp;$J17,SorP!C:C,0))))</f>
        <v>CN-JX</v>
      </c>
      <c r="U17" s="168"/>
      <c r="V17" s="169">
        <f ca="1">IF(C17="",NA(),MATCH($B17&amp;$C17,'Smelter Look-up'!$J:$J,0))</f>
        <v>34</v>
      </c>
      <c r="X17" s="170">
        <f t="shared" ca="1" si="4"/>
        <v>0</v>
      </c>
      <c r="AB17" s="314" t="str">
        <f t="shared" ca="1" si="5"/>
        <v>Cobalt</v>
      </c>
    </row>
    <row r="18" spans="1:28" s="170" customFormat="1" ht="20.25" customHeight="1">
      <c r="A18" s="198" t="s">
        <v>18656</v>
      </c>
      <c r="B18" s="304" t="str">
        <f ca="1">IF(LEN(A18)=0,"",INDEX('Smelter Look-up'!$A:$A,MATCH($A18,'Smelter Look-up'!$E:$E,0)))</f>
        <v>Copper</v>
      </c>
      <c r="C18" s="152" t="str">
        <f ca="1">IF(LEN(A18)=0,"",INDEX('Smelter Look-up'!$C:$C,MATCH($A18,'Smelter Look-up'!$E:$E,0)))</f>
        <v>Aurubis Hamburg AG</v>
      </c>
      <c r="D18" s="149"/>
      <c r="E18" s="149" t="str">
        <f ca="1">IF(ISERROR($V18),"",OFFSET('Smelter Look-up'!$D$4,$V18-4,0)&amp;"")</f>
        <v>GERMANY</v>
      </c>
      <c r="F18" s="149" t="str">
        <f ca="1">IF(ISERROR($V18),"",OFFSET('Smelter Look-up'!$E$4,$V18-4,0))</f>
        <v>CID004220</v>
      </c>
      <c r="G18" s="149" t="str">
        <f ca="1">IF(C18=$X$4,"Enter smelter details",IF(ISERROR($V18),"",OFFSET('Smelter Look-up'!$F$4,$V18-4,0)))</f>
        <v>RMI</v>
      </c>
      <c r="H18" s="206">
        <f ca="1">IF(ISERROR($V18),"",OFFSET('Smelter Look-up'!$G$4,$V18-4,0))</f>
        <v>0</v>
      </c>
      <c r="I18" s="207" t="str">
        <f ca="1">IF(ISERROR($V18),"",OFFSET('Smelter Look-up'!$H$4,$V18-4,0))</f>
        <v>Hamburg</v>
      </c>
      <c r="J18" s="207" t="str">
        <f ca="1">IF(ISERROR($V18),"",OFFSET('Smelter Look-up'!$I$4,$V18-4,0))</f>
        <v>Hamburg</v>
      </c>
      <c r="K18" s="150"/>
      <c r="L18" s="150"/>
      <c r="M18" s="150"/>
      <c r="N18" s="150"/>
      <c r="O18" s="150"/>
      <c r="P18" s="209"/>
      <c r="Q18" s="151"/>
      <c r="R18" s="149" t="str">
        <f ca="1">IF(ISERROR($V18),"",OFFSET('Smelter Look-up'!$C$4,$V18-4,0)&amp;"")</f>
        <v>Aurubis Hamburg AG</v>
      </c>
      <c r="S18" s="155" t="str">
        <f t="shared" ca="1" si="3"/>
        <v>DE</v>
      </c>
      <c r="T18" s="155" t="str">
        <f ca="1">IF(B18="","",IF(ISERROR(MATCH($J18,SorP!$B$1:$B$6226,0)),"",INDIRECT("'SorP'!$A$"&amp;MATCH($S18&amp;$J18,SorP!C:C,0))))</f>
        <v>DE-HH</v>
      </c>
      <c r="U18" s="168"/>
      <c r="V18" s="169">
        <f ca="1">IF(C18="",NA(),MATCH($B18&amp;$C18,'Smelter Look-up'!$J:$J,0))</f>
        <v>180</v>
      </c>
      <c r="X18" s="170">
        <f t="shared" ca="1" si="4"/>
        <v>0</v>
      </c>
      <c r="AB18" s="314" t="str">
        <f t="shared" ca="1" si="5"/>
        <v>Copper</v>
      </c>
    </row>
    <row r="19" spans="1:28" s="170" customFormat="1" ht="20.25" customHeight="1">
      <c r="A19" s="198" t="s">
        <v>18696</v>
      </c>
      <c r="B19" s="304" t="s">
        <v>18642</v>
      </c>
      <c r="C19" s="152" t="str">
        <f ca="1">IF(LEN(A19)=0,"",INDEX('Smelter Look-up'!$C:$C,MATCH($A19,'Smelter Look-up'!$E:$E,0)))</f>
        <v>Glencore Nikkelverk Refinery</v>
      </c>
      <c r="D19" s="149"/>
      <c r="E19" s="149" t="s">
        <v>20067</v>
      </c>
      <c r="F19" s="198" t="s">
        <v>18696</v>
      </c>
      <c r="G19" s="149" t="s">
        <v>19143</v>
      </c>
      <c r="H19" s="206" t="s">
        <v>19143</v>
      </c>
      <c r="I19" s="207" t="s">
        <v>19143</v>
      </c>
      <c r="J19" s="207" t="s">
        <v>19143</v>
      </c>
      <c r="K19" s="150"/>
      <c r="L19" s="150"/>
      <c r="M19" s="150"/>
      <c r="N19" s="150"/>
      <c r="O19" s="150"/>
      <c r="P19" s="209"/>
      <c r="Q19" s="151"/>
      <c r="R19" s="149" t="str">
        <f ca="1">IF(ISERROR($V19),"",OFFSET('Smelter Look-up'!$C$4,$V19-4,0)&amp;"")</f>
        <v/>
      </c>
      <c r="S19" s="155" t="str">
        <f t="shared" ca="1" si="3"/>
        <v>NO</v>
      </c>
      <c r="T19" s="155" t="str">
        <f ca="1">IF(B19="","",IF(ISERROR(MATCH($J19,SorP!$B$1:$B$6226,0)),"",INDIRECT("'SorP'!$A$"&amp;MATCH($S19&amp;$J19,SorP!C:C,0))))</f>
        <v/>
      </c>
      <c r="U19" s="168"/>
      <c r="V19" s="169" t="e">
        <f ca="1">IF(C19="",NA(),MATCH($B19&amp;$C19,'Smelter Look-up'!$J:$J,0))</f>
        <v>#N/A</v>
      </c>
      <c r="X19" s="170">
        <f t="shared" ca="1" si="4"/>
        <v>0</v>
      </c>
      <c r="AB19" s="314" t="str">
        <f t="shared" ca="1" si="5"/>
        <v>Nickel</v>
      </c>
    </row>
    <row r="20" spans="1:28" s="170" customFormat="1" ht="20.25" customHeight="1">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13" activePane="bottomRight" state="frozen"/>
      <selection pane="topRight" activeCell="B24" sqref="B24:J24"/>
      <selection pane="bottomLeft" activeCell="B24" sqref="B24:J24"/>
      <selection pane="bottomRight" activeCell="D21" sqref="D21"/>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7" t="str">
        <f ca="1">OFFSET(L!$C$1,MATCH("Checker"&amp;ADDRESS(ROW(),COLUMN(),4),L!$A:$A,0)-1,SL,,)</f>
        <v>Um sicherzustellen, dass alle erforderlichen Felder vor dem Versand an ihren Kunden ausgefüllt sind, alle rot markierten Felder beachten.</v>
      </c>
      <c r="B1" s="477"/>
      <c r="C1" s="477"/>
      <c r="D1" s="108" t="str">
        <f ca="1">OFFSET(L!$C$1,MATCH("Checker"&amp;ADDRESS(ROW(),COLUMN(),4),L!$A:$A,0)-1,SL,,)</f>
        <v>Erforderliche Felder bitte vervollständigen.</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9">
      <c r="A4" s="135" t="str">
        <f ca="1">Declaration!B8</f>
        <v>Firmenname (*):</v>
      </c>
      <c r="B4" s="356" t="str">
        <f>Declaration!D8</f>
        <v>HUMMEL AG</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9">
      <c r="A5" s="135" t="str">
        <f ca="1">Declaration!B9</f>
        <v>Geltungsbereich der Erklärung (*):</v>
      </c>
      <c r="B5" s="356" t="str">
        <f>Declaration!D9</f>
        <v>A. Company</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1.95" customHeight="1">
      <c r="A6" s="80" t="str">
        <f ca="1">Declaration!B10</f>
        <v>Beschreibung des Geltungsbereichs</v>
      </c>
      <c r="B6" s="79" t="str">
        <f>Declaration!D10</f>
        <v>Circular Connector / Cable Glands / Heating Components</v>
      </c>
      <c r="C6" s="79" t="str">
        <f t="shared" ca="1" si="0"/>
        <v>Vollständig</v>
      </c>
      <c r="D6" s="85" t="str">
        <f>IF(H6=1,"Click here to provide a Description of Scope","")</f>
        <v/>
      </c>
      <c r="E6" s="16" t="s">
        <v>15</v>
      </c>
      <c r="F6" s="84">
        <f>IF(OR(B5=Declaration!P9,B5=Declaration!Q9,B5=0),0,1)</f>
        <v>0</v>
      </c>
      <c r="G6" s="62">
        <f t="shared" si="1"/>
        <v>0</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1.9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Name des Ansprechpartners (*):</v>
      </c>
      <c r="B9" s="356" t="str">
        <f>Declaration!D19</f>
        <v xml:space="preserve">Mr. C. Latte </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9">
      <c r="A10" s="135" t="str">
        <f ca="1">Declaration!B20</f>
        <v>E-Mail-Adresse des Ansprechpartners (*):</v>
      </c>
      <c r="B10" s="357" t="str">
        <f>Declaration!D20</f>
        <v>info@hummel.com</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9">
      <c r="A11" s="135" t="str">
        <f ca="1">Declaration!B21</f>
        <v>Telefonnummer des Ansprechpartners (*):</v>
      </c>
      <c r="B11" s="356" t="str">
        <f>Declaration!D21</f>
        <v>+49 (0) 7666/91110-0</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9">
      <c r="A12" s="135" t="str">
        <f ca="1">Declaration!B22</f>
        <v>Bevollmächtigter (*):</v>
      </c>
      <c r="B12" s="356" t="str">
        <f>Declaration!D22</f>
        <v>Mr. C. Koch</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80" t="str">
        <f ca="1">Declaration!B24</f>
        <v>E-Mail-Adresse des Bevollmächtigten (*):</v>
      </c>
      <c r="B13" s="81" t="str">
        <f>Declaration!D24</f>
        <v>info@hummel.com</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1.95" customHeight="1">
      <c r="A14" s="80"/>
      <c r="B14" s="79"/>
      <c r="C14" s="79"/>
      <c r="D14" s="85"/>
      <c r="E14" s="16" t="s">
        <v>15</v>
      </c>
      <c r="F14" s="83"/>
      <c r="G14" s="62"/>
      <c r="H14" s="63">
        <f>F14*G14</f>
        <v>0</v>
      </c>
      <c r="I14" s="131"/>
    </row>
    <row r="15" spans="1:10" ht="39">
      <c r="A15" s="80" t="str">
        <f ca="1">Declaration!B26</f>
        <v>Datum (*):</v>
      </c>
      <c r="B15" s="81">
        <f>Declaration!D26</f>
        <v>45799</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4.95" customHeight="1">
      <c r="A17" s="80" t="str">
        <f>Declaration!B30</f>
        <v>Cobalt(*)</v>
      </c>
      <c r="B17" s="79" t="str">
        <f>Declaration!D30</f>
        <v>Yes</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4.95" customHeight="1">
      <c r="A18" s="80" t="str">
        <f>Declaration!B31</f>
        <v>Copper(*)</v>
      </c>
      <c r="B18" s="79" t="str">
        <f>Declaration!D31</f>
        <v>Yes</v>
      </c>
      <c r="C18" s="79" t="str">
        <f t="shared" ca="1" si="3"/>
        <v>Vollständig</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4.95" customHeight="1">
      <c r="A19" s="80" t="str">
        <f>Declaration!B32</f>
        <v>Graphite(*)</v>
      </c>
      <c r="B19" s="79" t="str">
        <f>Declaration!D32</f>
        <v>No</v>
      </c>
      <c r="C19" s="79" t="str">
        <f t="shared" ca="1" si="3"/>
        <v>Vollständig</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4.95" customHeight="1">
      <c r="A20" s="80" t="str">
        <f>Declaration!B33</f>
        <v>Lithium(*)</v>
      </c>
      <c r="B20" s="79" t="str">
        <f>Declaration!D33</f>
        <v>No</v>
      </c>
      <c r="C20" s="79" t="str">
        <f t="shared" ca="1" si="3"/>
        <v>Vollständig</v>
      </c>
      <c r="D20" s="316" t="str">
        <f t="shared" si="8"/>
        <v/>
      </c>
      <c r="E20" s="16" t="s">
        <v>15</v>
      </c>
      <c r="F20" s="323">
        <f t="shared" si="5"/>
        <v>1</v>
      </c>
      <c r="G20" s="62">
        <f t="shared" si="6"/>
        <v>0</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4.95" customHeight="1">
      <c r="A21" s="80" t="str">
        <f>Declaration!B34</f>
        <v>Mica(*)</v>
      </c>
      <c r="B21" s="79" t="str">
        <f>Declaration!D34</f>
        <v>No</v>
      </c>
      <c r="C21" s="79" t="str">
        <f t="shared" ca="1" si="3"/>
        <v>Vollständig</v>
      </c>
      <c r="D21" s="316" t="str">
        <f t="shared" si="8"/>
        <v/>
      </c>
      <c r="E21" s="16"/>
      <c r="F21" s="323">
        <f t="shared" si="5"/>
        <v>1</v>
      </c>
      <c r="G21" s="62">
        <f t="shared" si="6"/>
        <v>0</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4.95" customHeight="1">
      <c r="A22" s="80" t="str">
        <f>Declaration!B35</f>
        <v>Nickel(*)</v>
      </c>
      <c r="B22" s="79" t="str">
        <f>Declaration!D35</f>
        <v>Yes</v>
      </c>
      <c r="C22" s="79" t="str">
        <f t="shared" ca="1" si="3"/>
        <v>Vollständig</v>
      </c>
      <c r="D22" s="316" t="str">
        <f t="shared" si="8"/>
        <v/>
      </c>
      <c r="E22" s="16"/>
      <c r="F22" s="323">
        <f t="shared" si="5"/>
        <v>1</v>
      </c>
      <c r="G22" s="62">
        <f t="shared" si="6"/>
        <v>0</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Verbleibt angegebenen Mineralien in dem bzw. den Produkten? (*)(*)</v>
      </c>
      <c r="B27" s="82"/>
      <c r="C27" s="82"/>
      <c r="D27" s="86"/>
      <c r="E27" s="16" t="s">
        <v>15</v>
      </c>
      <c r="F27" s="83"/>
      <c r="J27" s="132"/>
    </row>
    <row r="28" spans="1:10" ht="39">
      <c r="A28" s="80" t="str">
        <f>Declaration!B42</f>
        <v>Cobalt(*)</v>
      </c>
      <c r="B28" s="79" t="str">
        <f>Declaration!D42</f>
        <v>Yes</v>
      </c>
      <c r="C28" s="136" t="str">
        <f t="shared" ref="C28:C37" ca="1" si="9">IF(H28=1,J28,I28)</f>
        <v>Vollständig</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80" t="str">
        <f>Declaration!B43</f>
        <v>Copper(*)</v>
      </c>
      <c r="B29" s="79" t="str">
        <f>Declaration!D43</f>
        <v>Yes</v>
      </c>
      <c r="C29" s="136" t="str">
        <f t="shared" ca="1" si="9"/>
        <v>Vollständig</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80" t="str">
        <f>Declaration!B44</f>
        <v>Graphite</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80" t="str">
        <f>Declaration!B45</f>
        <v>Lithium</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80" t="str">
        <f>Declaration!B46</f>
        <v>Mica</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80" t="str">
        <f>Declaration!B47</f>
        <v>Nickel(*)</v>
      </c>
      <c r="B33" s="79" t="str">
        <f>Declaration!D47</f>
        <v>Yes</v>
      </c>
      <c r="C33" s="136" t="str">
        <f t="shared" ca="1" si="9"/>
        <v>Vollständig</v>
      </c>
      <c r="D33" s="316" t="str">
        <f t="shared" si="10"/>
        <v/>
      </c>
      <c r="E33" s="16"/>
      <c r="F33" s="84">
        <f t="shared" si="11"/>
        <v>1</v>
      </c>
      <c r="G33" s="62">
        <f t="shared" si="12"/>
        <v>0</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39">
      <c r="A39" s="80" t="str">
        <f>Declaration!B54</f>
        <v>Cobalt(*)</v>
      </c>
      <c r="B39" s="79" t="str">
        <f>Declaration!D54</f>
        <v>No</v>
      </c>
      <c r="C39" s="136" t="str">
        <f t="shared" ca="1" si="3"/>
        <v>Vollständig</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80" t="str">
        <f>Declaration!B55</f>
        <v>Copper(*)</v>
      </c>
      <c r="B40" s="79" t="str">
        <f>Declaration!D55</f>
        <v>Yes</v>
      </c>
      <c r="C40" s="136" t="str">
        <f t="shared" ca="1" si="3"/>
        <v>Vollständig</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80" t="str">
        <f>Declaration!B56</f>
        <v>Graphite</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80" t="str">
        <f>Declaration!B57</f>
        <v>Lithium</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80" t="str">
        <f>Declaration!B58</f>
        <v>Mica</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80" t="str">
        <f>Declaration!B59</f>
        <v>Nickel(*)</v>
      </c>
      <c r="B44" s="79" t="str">
        <f>Declaration!D59</f>
        <v>Yes</v>
      </c>
      <c r="C44" s="136" t="str">
        <f t="shared" ca="1" si="3"/>
        <v>Vollständig</v>
      </c>
      <c r="D44" s="318" t="str">
        <f t="shared" si="16"/>
        <v/>
      </c>
      <c r="E44" s="16"/>
      <c r="F44" s="84">
        <f t="shared" si="17"/>
        <v>1</v>
      </c>
      <c r="G44" s="62">
        <f t="shared" si="18"/>
        <v>0</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t="str">
        <f>Declaration!D66</f>
        <v>No</v>
      </c>
      <c r="C50" s="136" t="str">
        <f ca="1">IF(H50=1,J50,I50)</f>
        <v>Vollständig</v>
      </c>
      <c r="D50" s="318" t="str">
        <f>IF(H50=1,"Click here to answer question 4 for specified mineral","")</f>
        <v/>
      </c>
      <c r="E50" s="16" t="s">
        <v>15</v>
      </c>
      <c r="F50" s="84">
        <f>F39</f>
        <v>1</v>
      </c>
      <c r="G50" s="62">
        <f>IF(B50=0,1,0)</f>
        <v>0</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Copper(*)</v>
      </c>
      <c r="B51" s="79" t="str">
        <f>Declaration!D67</f>
        <v>No</v>
      </c>
      <c r="C51" s="136" t="str">
        <f t="shared" ref="C51:C59" ca="1" si="20">IF(H51=1,J51,I51)</f>
        <v>Vollständig</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Graphite</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Lithium</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Mica</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Nickel(*)</v>
      </c>
      <c r="B55" s="79" t="str">
        <f>Declaration!D71</f>
        <v>No</v>
      </c>
      <c r="C55" s="136" t="str">
        <f t="shared" ca="1" si="20"/>
        <v>Vollständig</v>
      </c>
      <c r="D55" s="318" t="str">
        <f t="shared" si="21"/>
        <v/>
      </c>
      <c r="E55" s="16"/>
      <c r="F55" s="84">
        <f t="shared" si="22"/>
        <v>1</v>
      </c>
      <c r="G55" s="62">
        <f t="shared" si="23"/>
        <v>0</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Wie hoch ist der Prozentsatz an Lieferanten, die auf Ihre Lieferkettenumfrage geantwortet haben?(*)</v>
      </c>
      <c r="B60" s="82"/>
      <c r="C60" s="82"/>
      <c r="D60" s="86"/>
      <c r="E60" s="16" t="s">
        <v>15</v>
      </c>
      <c r="F60" s="83"/>
    </row>
    <row r="61" spans="1:10" ht="26.25">
      <c r="A61" s="80" t="str">
        <f>Declaration!B78</f>
        <v>Cobalt(*)</v>
      </c>
      <c r="B61" s="79" t="str">
        <f>Declaration!D78</f>
        <v>Greater than 90%</v>
      </c>
      <c r="C61" s="136" t="str">
        <f t="shared" ca="1" si="3"/>
        <v>Vollständig</v>
      </c>
      <c r="D61" s="319" t="str">
        <f>IF(H61=1,"Click here to answer question 5 for specified mineral","")</f>
        <v/>
      </c>
      <c r="E61" s="16" t="s">
        <v>18</v>
      </c>
      <c r="F61" s="84">
        <f>F50</f>
        <v>1</v>
      </c>
      <c r="G61" s="62">
        <f t="shared" si="14"/>
        <v>0</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80" t="str">
        <f>Declaration!B79</f>
        <v>Copper(*)</v>
      </c>
      <c r="B62" s="79" t="str">
        <f>Declaration!D79</f>
        <v>Greater than 90%</v>
      </c>
      <c r="C62" s="136" t="str">
        <f t="shared" ca="1" si="3"/>
        <v>Vollständig</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80" t="str">
        <f>Declaration!B80</f>
        <v>Graphite</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80" t="str">
        <f>Declaration!B81</f>
        <v>Lithium</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80" t="str">
        <f>Declaration!B82</f>
        <v>Mica</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80" t="str">
        <f>Declaration!B83</f>
        <v>Nickel(*)</v>
      </c>
      <c r="B66" s="79" t="str">
        <f>Declaration!D83</f>
        <v>Greater than 90%</v>
      </c>
      <c r="C66" s="136" t="str">
        <f t="shared" ca="1" si="3"/>
        <v>Vollständig</v>
      </c>
      <c r="D66" s="319" t="str">
        <f t="shared" si="25"/>
        <v/>
      </c>
      <c r="E66" s="16"/>
      <c r="F66" s="84">
        <f t="shared" si="26"/>
        <v>1</v>
      </c>
      <c r="G66" s="62">
        <f t="shared" si="27"/>
        <v>0</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1.75">
      <c r="A72" s="80" t="str">
        <f>Declaration!B90</f>
        <v>Cobalt(*)</v>
      </c>
      <c r="B72" s="79" t="str">
        <f>Declaration!D90</f>
        <v>Yes</v>
      </c>
      <c r="C72" s="136" t="str">
        <f t="shared" ca="1" si="3"/>
        <v>Vollständig</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80" t="str">
        <f>Declaration!B91</f>
        <v>Copper(*)</v>
      </c>
      <c r="B73" s="79" t="str">
        <f>Declaration!D91</f>
        <v>Yes</v>
      </c>
      <c r="C73" s="136" t="str">
        <f t="shared" ref="C73:C81" ca="1" si="31">IF(H73=1,J73,I73)</f>
        <v>Vollständig</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80" t="str">
        <f>Declaration!B92</f>
        <v>Graphite</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80" t="str">
        <f>Declaration!B93</f>
        <v>Lithium</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80" t="str">
        <f>Declaration!B94</f>
        <v>Mica</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80" t="str">
        <f>Declaration!B95</f>
        <v>Nickel(*)</v>
      </c>
      <c r="B77" s="79" t="str">
        <f>Declaration!D95</f>
        <v>Yes</v>
      </c>
      <c r="C77" s="136" t="str">
        <f t="shared" ca="1" si="31"/>
        <v>Vollständig</v>
      </c>
      <c r="D77" s="319" t="str">
        <f t="shared" si="32"/>
        <v/>
      </c>
      <c r="E77" s="16"/>
      <c r="F77" s="84">
        <f t="shared" si="33"/>
        <v>1</v>
      </c>
      <c r="G77" s="62">
        <f t="shared" si="34"/>
        <v>0</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45" customHeight="1">
      <c r="A83" s="80" t="str">
        <f>Declaration!B102</f>
        <v>Cobalt(*)</v>
      </c>
      <c r="B83" s="79" t="str">
        <f>Declaration!D102</f>
        <v>Yes</v>
      </c>
      <c r="C83" s="136" t="str">
        <f t="shared" ref="C83:C92" ca="1" si="36">IF(H83=1,J83,I83)</f>
        <v>Vollständig</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80" t="str">
        <f>Declaration!B103</f>
        <v>Copper(*)</v>
      </c>
      <c r="B84" s="79" t="str">
        <f>Declaration!D103</f>
        <v>Yes</v>
      </c>
      <c r="C84" s="136" t="str">
        <f t="shared" ca="1" si="36"/>
        <v>Vollständig</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80" t="str">
        <f>Declaration!B104</f>
        <v>Graphite</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80" t="str">
        <f>Declaration!B105</f>
        <v>Lithium</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80" t="str">
        <f>Declaration!B106</f>
        <v>Mica</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80" t="str">
        <f>Declaration!B107</f>
        <v>Nickel(*)</v>
      </c>
      <c r="B88" s="79" t="str">
        <f>Declaration!D107</f>
        <v>Yes</v>
      </c>
      <c r="C88" s="136" t="str">
        <f t="shared" ca="1" si="36"/>
        <v>Vollständig</v>
      </c>
      <c r="D88" s="319" t="str">
        <f t="shared" si="39"/>
        <v/>
      </c>
      <c r="E88" s="16"/>
      <c r="F88" s="84">
        <f t="shared" si="40"/>
        <v>1</v>
      </c>
      <c r="G88" s="62">
        <f t="shared" si="41"/>
        <v>0</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Frage</v>
      </c>
      <c r="B93" s="82"/>
      <c r="C93" s="82"/>
      <c r="D93" s="86"/>
      <c r="E93" s="16" t="s">
        <v>18</v>
      </c>
      <c r="F93" s="83"/>
      <c r="G93" s="83"/>
      <c r="H93" s="83"/>
    </row>
    <row r="94" spans="1:10" ht="39">
      <c r="A94" s="79" t="str">
        <f ca="1">Declaration!B115</f>
        <v>A. Haben Sie eine Richtlinie zur verantwortungsvollen Beschaffung von Mineralien aufgestellt?(*)</v>
      </c>
      <c r="B94" s="79" t="str">
        <f>Declaration!D115</f>
        <v>Yes</v>
      </c>
      <c r="C94" s="136" t="str">
        <f ca="1">IF(H94=1,J94,I94)</f>
        <v>Vollständig</v>
      </c>
      <c r="D94" s="320" t="str">
        <f>IF(H94=1,"Click here to answer question (A)","")</f>
        <v/>
      </c>
      <c r="E94" s="16" t="s">
        <v>15</v>
      </c>
      <c r="F94" s="84">
        <f>IF(SUM(F$39:F$48)=0,0,1)</f>
        <v>1</v>
      </c>
      <c r="G94" s="62">
        <f t="shared" si="14"/>
        <v>0</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9" t="str">
        <f ca="1">Declaration!B117</f>
        <v>B. Ist Ihre Richtlinie zur verantwortungsvollen Beschaffung von Mineralien auf Ihrer Website einsehbar? (Hinweis – Bei „Ja“ hat der Benutzer die URL im Anmerkungsfeld anzugeben.)(*)</v>
      </c>
      <c r="B95" s="79" t="str">
        <f>Declaration!D117</f>
        <v>Yes</v>
      </c>
      <c r="C95" s="136" t="str">
        <f ca="1">IF(H95=1,J95,I95)</f>
        <v>Vollständig</v>
      </c>
      <c r="D95" s="321" t="str">
        <f>IF(H95=1,"Click here to answer question (B)","")</f>
        <v/>
      </c>
      <c r="E95" s="16" t="s">
        <v>15</v>
      </c>
      <c r="F95" s="84">
        <f t="shared" ref="F95:F111" si="43">F$94</f>
        <v>1</v>
      </c>
      <c r="G95" s="62">
        <f t="shared" si="14"/>
        <v>0</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9" t="s">
        <v>53</v>
      </c>
      <c r="B96" s="79" t="str">
        <f>Declaration!G117</f>
        <v>https://www.hummel.com/de/support/compliance</v>
      </c>
      <c r="C96" s="79" t="str">
        <f ca="1">IF(H96=1,J96,I96)</f>
        <v>Vollständig</v>
      </c>
      <c r="D96" s="322" t="str">
        <f>IF(H96=1,"Click here to answer question (C)","")</f>
        <v/>
      </c>
      <c r="E96" s="16" t="s">
        <v>15</v>
      </c>
      <c r="F96" s="84">
        <f>IF(AND(F95=1,B95="Yes"),1,0)</f>
        <v>1</v>
      </c>
      <c r="G96" s="62">
        <f>IF(LEN(B96)&gt;1,0,1)</f>
        <v>0</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4.9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Vollständig</v>
      </c>
      <c r="D98" s="321" t="str">
        <f>IF(H98=1,"Click here to answer question (C)","")</f>
        <v/>
      </c>
      <c r="E98" s="16"/>
      <c r="F98" s="84">
        <f>F39</f>
        <v>1</v>
      </c>
      <c r="G98" s="62">
        <f t="shared" si="14"/>
        <v>0</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Copper(*)</v>
      </c>
      <c r="B99" s="79" t="str">
        <f>Declaration!D121</f>
        <v>Yes</v>
      </c>
      <c r="C99" s="136" t="str">
        <f t="shared" ca="1" si="44"/>
        <v>Vollständig</v>
      </c>
      <c r="D99" s="321" t="str">
        <f>IF(H99=1,"Click here to answer question (C)","")</f>
        <v/>
      </c>
      <c r="E99" s="16"/>
      <c r="F99" s="84">
        <f t="shared" ref="F99:F103" si="45">F40</f>
        <v>1</v>
      </c>
      <c r="G99" s="62">
        <f t="shared" si="14"/>
        <v>0</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Graphite</v>
      </c>
      <c r="B100" s="79">
        <f>Declaration!D122</f>
        <v>0</v>
      </c>
      <c r="C100" s="136" t="str">
        <f t="shared" ca="1" si="44"/>
        <v>Vollständig</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Lithium</v>
      </c>
      <c r="B101" s="79">
        <f>Declaration!D123</f>
        <v>0</v>
      </c>
      <c r="C101" s="136" t="str">
        <f t="shared" ca="1" si="44"/>
        <v>Vollständig</v>
      </c>
      <c r="D101" s="321" t="str">
        <f t="shared" si="46"/>
        <v/>
      </c>
      <c r="E101" s="16"/>
      <c r="F101" s="84">
        <f t="shared" si="45"/>
        <v>0</v>
      </c>
      <c r="G101" s="62">
        <f t="shared" si="47"/>
        <v>1</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Mica</v>
      </c>
      <c r="B102" s="79">
        <f>Declaration!D124</f>
        <v>0</v>
      </c>
      <c r="C102" s="136" t="str">
        <f t="shared" ca="1" si="44"/>
        <v>Vollständig</v>
      </c>
      <c r="D102" s="321" t="str">
        <f t="shared" si="46"/>
        <v/>
      </c>
      <c r="E102" s="16"/>
      <c r="F102" s="84">
        <f t="shared" si="45"/>
        <v>0</v>
      </c>
      <c r="G102" s="62">
        <f t="shared" si="47"/>
        <v>1</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Nickel(*)</v>
      </c>
      <c r="B103" s="79" t="str">
        <f>Declaration!D125</f>
        <v>Yes</v>
      </c>
      <c r="C103" s="136" t="str">
        <f t="shared" ca="1" si="44"/>
        <v>Vollständig</v>
      </c>
      <c r="D103" s="321" t="str">
        <f t="shared" si="46"/>
        <v/>
      </c>
      <c r="E103" s="16"/>
      <c r="F103" s="84">
        <f t="shared" si="45"/>
        <v>1</v>
      </c>
      <c r="G103" s="62">
        <f t="shared" si="47"/>
        <v>0</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Haben Sie Sorgfaltspflichtmaßnahmen für verantwortungsvolle Beschaffung in Kraft gesetzt?(*)</v>
      </c>
      <c r="B108" s="79" t="str">
        <f>Declaration!D131</f>
        <v>Yes</v>
      </c>
      <c r="C108" s="136" t="str">
        <f t="shared" ca="1" si="44"/>
        <v>Vollständig</v>
      </c>
      <c r="D108" s="321" t="str">
        <f>IF(H108=1,"Click here to answer question (D)","")</f>
        <v/>
      </c>
      <c r="E108" s="16" t="s">
        <v>15</v>
      </c>
      <c r="F108" s="84">
        <f t="shared" si="43"/>
        <v>1</v>
      </c>
      <c r="G108" s="62">
        <f t="shared" si="14"/>
        <v>0</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9" t="str">
        <f ca="1">Declaration!B133</f>
        <v>E. Führt Ihr Unternehmen Lieferkettenumfragen bei Ihren relevanten Lieferanten zu angegebenen Mineralien durch?(*)</v>
      </c>
      <c r="B109" s="79" t="str">
        <f>Declaration!D133</f>
        <v>Yes, in conformance with IPC1755 (e.g. EMRT)</v>
      </c>
      <c r="C109" s="136" t="str">
        <f t="shared" ca="1" si="44"/>
        <v>Vollständig</v>
      </c>
      <c r="D109" s="321" t="str">
        <f>IF(H109=1,"Click here to answer question (E)","")</f>
        <v/>
      </c>
      <c r="E109" s="16" t="s">
        <v>15</v>
      </c>
      <c r="F109" s="84">
        <f t="shared" si="43"/>
        <v>1</v>
      </c>
      <c r="G109" s="62">
        <f>IF(B109=0,1,0)</f>
        <v>0</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9" t="str">
        <f ca="1">Declaration!B135</f>
        <v>F. Prüfen Sie die Sorgfaltspflichtangaben, die Sie von Ihren Lieferanten erhalten, gegen die Erwartungen Ihres Unternehmens?(*)</v>
      </c>
      <c r="B110" s="79" t="str">
        <f>Declaration!D135</f>
        <v>Yes</v>
      </c>
      <c r="C110" s="136" t="str">
        <f t="shared" ca="1" si="44"/>
        <v>Vollständig</v>
      </c>
      <c r="D110" s="321" t="str">
        <f>IF(H110=1,"Click here to answer question (F)","")</f>
        <v/>
      </c>
      <c r="E110" s="16" t="s">
        <v>15</v>
      </c>
      <c r="F110" s="84">
        <f t="shared" si="43"/>
        <v>1</v>
      </c>
      <c r="G110" s="62">
        <f>IF(B110=0,1,0)</f>
        <v>0</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9" t="str">
        <f ca="1">Declaration!B137</f>
        <v>G. Umfasst Ihr Prüfverfahren die Überwachung von Abhilfemaßnahmen?(*)</v>
      </c>
      <c r="B111" s="79" t="str">
        <f>Declaration!D137</f>
        <v>Yes</v>
      </c>
      <c r="C111" s="136" t="str">
        <f t="shared" ca="1" si="44"/>
        <v>Vollständig</v>
      </c>
      <c r="D111" s="321" t="str">
        <f>IF(H111=1,"Click here to answer question (G)","")</f>
        <v/>
      </c>
      <c r="E111" s="16" t="s">
        <v>15</v>
      </c>
      <c r="F111" s="84">
        <f t="shared" si="43"/>
        <v>1</v>
      </c>
      <c r="G111" s="62">
        <f t="shared" si="14"/>
        <v>0</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80" t="s">
        <v>54</v>
      </c>
      <c r="B112" s="79" t="str">
        <f>IF(G112=1,"No products or item numbers listed","One or more product / item numbers have been provided")</f>
        <v>No products or item numbers listed</v>
      </c>
      <c r="C112" s="79" t="str">
        <f t="shared" ca="1" si="44"/>
        <v>Vollständig</v>
      </c>
      <c r="D112" s="380" t="str">
        <f>IF(H112=1,"Click here to enter detail on Product List tab","")</f>
        <v/>
      </c>
      <c r="E112" s="16" t="s">
        <v>15</v>
      </c>
      <c r="F112" s="84">
        <f>IF(B5=Declaration!Q9,1,0)</f>
        <v>0</v>
      </c>
      <c r="G112" s="62">
        <f>IF('Product List'!B6="",1,0)</f>
        <v>1</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Vollständig</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45" customHeight="1">
      <c r="A115" s="135" t="str">
        <f>Declaration!AA13</f>
        <v>Copper</v>
      </c>
      <c r="B115" s="79"/>
      <c r="C115" s="136" t="str">
        <f t="shared" ca="1" si="49"/>
        <v>Vollständig</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45" customHeight="1">
      <c r="A116" s="135" t="str">
        <f>Declaration!AA14</f>
        <v>Graphite</v>
      </c>
      <c r="B116" s="79"/>
      <c r="C116" s="136" t="str">
        <f t="shared" ca="1" si="49"/>
        <v>Vollständig</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45" customHeight="1">
      <c r="A117" s="135" t="str">
        <f>Declaration!AA15</f>
        <v>Lithium</v>
      </c>
      <c r="B117" s="79"/>
      <c r="C117" s="136" t="str">
        <f t="shared" ca="1" si="49"/>
        <v>Vollständig</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45" customHeight="1">
      <c r="A118" s="135" t="str">
        <f>Declaration!AA16</f>
        <v>Mica</v>
      </c>
      <c r="B118" s="79"/>
      <c r="C118" s="136" t="str">
        <f t="shared" ca="1" si="49"/>
        <v>Vollständig</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45" customHeight="1">
      <c r="A119" s="135" t="str">
        <f>Declaration!AA17</f>
        <v>Nickel</v>
      </c>
      <c r="B119" s="79"/>
      <c r="C119" s="136" t="str">
        <f t="shared" ca="1" si="49"/>
        <v>Vollständig</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Vollständig</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C16" sqref="C16"/>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8" t="str">
        <f ca="1">OFFSET(L!$C$1,MATCH("Mine List"&amp;ADDRESS(ROW(),COLUMN(),4),L!$A:$A,0)-1,SL,,)</f>
        <v>UM ZU BEGINNEN:</v>
      </c>
      <c r="C2" s="478" t="s">
        <v>19144</v>
      </c>
      <c r="D2" s="478" t="s">
        <v>19144</v>
      </c>
      <c r="E2" s="326"/>
      <c r="F2" s="326"/>
      <c r="G2" s="327"/>
      <c r="H2" s="479"/>
      <c r="I2" s="480"/>
      <c r="J2" s="480"/>
      <c r="K2" s="480"/>
      <c r="L2" s="480"/>
      <c r="M2" s="480"/>
      <c r="N2" s="328"/>
      <c r="O2" s="328"/>
    </row>
    <row r="3" spans="1:19" s="324" customFormat="1" ht="93.95" customHeight="1" thickBot="1">
      <c r="A3" s="360"/>
      <c r="B3" s="481"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81" t="s">
        <v>19144</v>
      </c>
      <c r="D3" s="481" t="s">
        <v>19144</v>
      </c>
      <c r="E3" s="482" t="s">
        <v>19142</v>
      </c>
      <c r="F3" s="482"/>
      <c r="G3" s="483"/>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5" t="str">
        <f ca="1">OFFSET(L!$C$1,MATCH("Product List"&amp;ADDRESS(ROW(),COLUMN(),4),L!$A:$A,0)-1,SL,,)</f>
        <v>Abschluss nur erforderlich, wenn die Ebene "Produkt (oder eine Liste von Produkten)" auf der "Erklärung" Arbeitsblatt ausgewählt wurde</v>
      </c>
      <c r="B1" s="486"/>
      <c r="C1" s="486"/>
      <c r="D1" s="486"/>
      <c r="E1" s="107"/>
    </row>
    <row r="2" spans="1:35">
      <c r="A2" s="19"/>
      <c r="B2" s="109"/>
      <c r="C2" s="109"/>
      <c r="D2"/>
      <c r="E2" s="20"/>
    </row>
    <row r="3" spans="1:35">
      <c r="A3" s="19"/>
      <c r="B3" s="109"/>
      <c r="C3" s="109"/>
      <c r="D3" s="109"/>
      <c r="E3" s="20"/>
    </row>
    <row r="4" spans="1:35" ht="15.75" customHeight="1">
      <c r="A4" s="19"/>
      <c r="B4" s="484" t="s">
        <v>47</v>
      </c>
      <c r="C4" s="484"/>
      <c r="D4" s="484"/>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7" t="str">
        <f ca="1">OFFSET(L!$C$1,MATCH("General"&amp;"Cpy",L!$A:$A,0)-1,SL,,)</f>
        <v>© 2025 Responsible Minerals Initiative. All rights reserved.</v>
      </c>
      <c r="C1001" s="487"/>
      <c r="D1001" s="487"/>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C20" sqref="C20"/>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8"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8"/>
      <c r="C1" s="488"/>
      <c r="D1" s="488"/>
      <c r="E1" s="488"/>
      <c r="F1" s="488"/>
      <c r="G1" s="488"/>
    </row>
    <row r="2" spans="1:13">
      <c r="A2" s="489"/>
      <c r="B2" s="489"/>
      <c r="C2" s="489"/>
      <c r="D2" s="489"/>
      <c r="E2" s="489"/>
      <c r="F2" s="489"/>
      <c r="G2" s="489"/>
      <c r="H2" s="489"/>
      <c r="I2" s="489"/>
    </row>
    <row r="3" spans="1:13">
      <c r="A3" s="489"/>
      <c r="B3" s="489"/>
      <c r="C3" s="489"/>
      <c r="D3" s="489"/>
      <c r="E3" s="489"/>
      <c r="F3" s="489"/>
      <c r="G3" s="489"/>
      <c r="H3" s="489"/>
      <c r="I3" s="489"/>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Latte, Christian</cp:lastModifiedBy>
  <cp:revision/>
  <dcterms:created xsi:type="dcterms:W3CDTF">2010-06-21T21:00:23Z</dcterms:created>
  <dcterms:modified xsi:type="dcterms:W3CDTF">2025-06-02T10:54:45Z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